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80" windowWidth="16335" windowHeight="8745" tabRatio="1000" activeTab="14"/>
  </bookViews>
  <sheets>
    <sheet name="RESUMEN" sheetId="1" r:id="rId1"/>
    <sheet name="META 1" sheetId="2" r:id="rId2"/>
    <sheet name="META 2" sheetId="3" r:id="rId3"/>
    <sheet name="META 3" sheetId="4" r:id="rId4"/>
    <sheet name="META 4" sheetId="5" r:id="rId5"/>
    <sheet name="META 5" sheetId="6" r:id="rId6"/>
    <sheet name="META 6" sheetId="7" r:id="rId7"/>
    <sheet name="META 7" sheetId="8" r:id="rId8"/>
    <sheet name="META 8" sheetId="9" r:id="rId9"/>
    <sheet name="META 9" sheetId="10" r:id="rId10"/>
    <sheet name="META 10" sheetId="11" r:id="rId11"/>
    <sheet name="META 11" sheetId="12" r:id="rId12"/>
    <sheet name="Hoja1" sheetId="13" state="hidden" r:id="rId13"/>
    <sheet name="META 12" sheetId="14" r:id="rId14"/>
    <sheet name="META 13" sheetId="15" r:id="rId15"/>
    <sheet name="Meta Corte Hosp" sheetId="16" state="hidden" r:id="rId16"/>
  </sheets>
  <definedNames/>
  <calcPr fullCalcOnLoad="1"/>
</workbook>
</file>

<file path=xl/sharedStrings.xml><?xml version="1.0" encoding="utf-8"?>
<sst xmlns="http://schemas.openxmlformats.org/spreadsheetml/2006/main" count="1041" uniqueCount="189">
  <si>
    <t>COMUNA</t>
  </si>
  <si>
    <t>ESTABLECIMIENTO</t>
  </si>
  <si>
    <t>META 1: COBERTURA EXAMEN DE MEDICINA PREVENTIVA (EMP), EN HOMBRES DE 20 A 44 AÑOS</t>
  </si>
  <si>
    <t>NUMERADOR</t>
  </si>
  <si>
    <t>DENOMINADOR</t>
  </si>
  <si>
    <t>Nº Examen de Medicina Preventiva (EMP) realizado en población masculina de 20 a 44 años</t>
  </si>
  <si>
    <t>Población masculina de 20 a 44 años bajo control en programa de salud cardiovascular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</si>
  <si>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</si>
  <si>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</si>
  <si>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</si>
  <si>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</si>
  <si>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</si>
  <si>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</si>
  <si>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</si>
  <si>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</si>
  <si>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SEPBRE</t>
  </si>
  <si>
    <t>OCTBRE</t>
  </si>
  <si>
    <t>NOVBRE</t>
  </si>
  <si>
    <t>DICBRE</t>
  </si>
  <si>
    <t>TOTAL</t>
  </si>
  <si>
    <t>A JUNIO</t>
  </si>
  <si>
    <t>Ingresos de población masculina al PSCV de 20 y 44 años</t>
  </si>
  <si>
    <t>Egresos de población masculina al PSCV de 20 y 44 años</t>
  </si>
  <si>
    <t>A AGOSTO</t>
  </si>
  <si>
    <t>A DICBRE</t>
  </si>
  <si>
    <t>A OCTBRE</t>
  </si>
  <si>
    <t>META 2: COBERTURA EXAMEN DE MEDICINA PREVENTIVA (EMP), EN MUJERES DE 45 A 64 AÑOS</t>
  </si>
  <si>
    <t>Nº Examen de Medicina Preventiva (EMP) realizado en población femenina de 45 a 64 años</t>
  </si>
  <si>
    <t>Población femenina de 45 a 64 años bajo control en Programa Salud Cardiovascular</t>
  </si>
  <si>
    <t>Ingresos de población femenina al PSCV de 45 y 65 años</t>
  </si>
  <si>
    <t>Egresos de población Femenina al PSCV de 45 a 65 años</t>
  </si>
  <si>
    <t>N° de adultos de 65 y más años con Examen de Medicina Preventiva</t>
  </si>
  <si>
    <t>META 3: COBERTURA EXAMEN DE MEDICINA PREVENTIVA (EMPAM) EN PERSONAS DE 65 AÑOS Y MÁS</t>
  </si>
  <si>
    <t>META 4: INGRESO PRECOZ A CONTROL DE EMBARAZO</t>
  </si>
  <si>
    <t>Nº de mujeres embarazadas ingresadas antes de las 14 semanas a control</t>
  </si>
  <si>
    <t>Total de mujeres embarazadas ingresadas a control</t>
  </si>
  <si>
    <t>META 5: PROPORCIÓN DE MENORES DE 20 AÑOS CON ALTA ODONTOLÓGICA TOTAL</t>
  </si>
  <si>
    <t>Nº de altas odontológicas totales en población menor de 20 años</t>
  </si>
  <si>
    <t>META 6: GESTION DE RECLAMOS EN APS</t>
  </si>
  <si>
    <t>Nº total de reclamos respondidos con solución dentro de los plazos legales establecidos (15 días hábiles)</t>
  </si>
  <si>
    <t>Nº total de reclamos</t>
  </si>
  <si>
    <t>META 7: COBERTURA DE ATENCION DE DIABETES MELLITUS TIPO 2 EN PERSONAS DE 15 Y MÁS AÑOS</t>
  </si>
  <si>
    <t>Nº de personas con diabetes mellitus 2 bajo control de 15 y más años</t>
  </si>
  <si>
    <t>Ingresos de personas con diabetes a PSCV de 15 y más años</t>
  </si>
  <si>
    <t>Egresos de personas diabéticas del PSCV de 15 y más años</t>
  </si>
  <si>
    <t>META 8: COBERTURA DE HIPERTENSION ARTERIAL EN PERSONAS DE 15 AÑOS Y MAS</t>
  </si>
  <si>
    <t>Ingresos de personas con hipertensión a PSCV de 15 y más años</t>
  </si>
  <si>
    <t>Egresos de personas hipertensas del PSCV de 15 y más años</t>
  </si>
  <si>
    <t>META 10: TASA DE VISITA DOMICILIARIA INTEGRAL</t>
  </si>
  <si>
    <t>Nº de visitas domiciliarias integrales realizadas</t>
  </si>
  <si>
    <t>META 9: COBERTURA DE EVALUACIÓN DEL DESARROLLO PSICOMOTOR DE NIÑOS Y NIÑAS DE 12 A 23 MESES BAJO CONTROL</t>
  </si>
  <si>
    <t>Niños y niñas 12 a 23 con Evaluación del Desarrollo Psicomotor</t>
  </si>
  <si>
    <t>Niños y Niñas entre 12 a 23 meses bajo control</t>
  </si>
  <si>
    <t>04106-VICUÑA</t>
  </si>
  <si>
    <t>04201-ILLAPEL</t>
  </si>
  <si>
    <t>04203-LOS VILOS</t>
  </si>
  <si>
    <t>04204-SALAMANCA</t>
  </si>
  <si>
    <t>04302-COMBARBALÁ</t>
  </si>
  <si>
    <t>Nº de diabéticos de 15 y más, esperados según prevalencia</t>
  </si>
  <si>
    <t>Nº de Hipertensos de 15 y más, esperados según prevalencia</t>
  </si>
  <si>
    <t>Indicador</t>
  </si>
  <si>
    <t>Resultado</t>
  </si>
  <si>
    <t>Nº de personas con Hipertension Arterial bajo control  de 15 años y mas</t>
  </si>
  <si>
    <t>CUMPLIMIENTO</t>
  </si>
  <si>
    <t>COQUIMBO</t>
  </si>
  <si>
    <t>ILLAPEL</t>
  </si>
  <si>
    <t>LOS VILOS</t>
  </si>
  <si>
    <t>SALAMANCA</t>
  </si>
  <si>
    <t>VICUÑA</t>
  </si>
  <si>
    <t>META 11: COBERTURA DE ATENCIÓN DE ASMA  EN POBLACIÓN INSCRITA Y EPOC EN PERSONAS DE 40 AÑOS Y MÁS</t>
  </si>
  <si>
    <t>Nº de personas con diagnóstico de Asma Bajo Control y de personas con EPOC de 40 años y más bajo control</t>
  </si>
  <si>
    <t>Ingresos de personas con Asma y EPOC de 40 años en Sala IRA-ERA</t>
  </si>
  <si>
    <t>Nº de personas con Asma y EPOC  estimada según prevalencia</t>
  </si>
  <si>
    <t>METAS ANUALES</t>
  </si>
  <si>
    <t>AÑO 2015</t>
  </si>
  <si>
    <t>A MARZO</t>
  </si>
  <si>
    <t>METAS A MARZO</t>
  </si>
  <si>
    <t>Egresos de personas con Asma y EPOC de 40 años en Sala IRA-ERA</t>
  </si>
  <si>
    <t>04103-ANDACOLLO</t>
  </si>
  <si>
    <t>105106-HOSPITAL ANDACOLLO</t>
  </si>
  <si>
    <t>105107-HOSPITAL VICUÑA</t>
  </si>
  <si>
    <t>105103-HOSPITAL ILLAPEL</t>
  </si>
  <si>
    <t>105108-HOSPITAL LOS VILOS</t>
  </si>
  <si>
    <t>105104-HOSPITAL SALAMANCA</t>
  </si>
  <si>
    <t>105105-HOSPITAL COMBARBALA</t>
  </si>
  <si>
    <t>TOTAL HOSPITALES</t>
  </si>
  <si>
    <t>SERVICIO</t>
  </si>
  <si>
    <t>Codigo SS</t>
  </si>
  <si>
    <t>Codigo COM</t>
  </si>
  <si>
    <t>Codigo ESTAB</t>
  </si>
  <si>
    <t>META 1 EMP hombres 20 a 44 años (25%)</t>
  </si>
  <si>
    <t>META 2 EMP mujeres de 45 a 64 años (26%)</t>
  </si>
  <si>
    <t>META 3 EMP 65 y mas años (55%)</t>
  </si>
  <si>
    <t>META 4 control embarazada (87%)</t>
  </si>
  <si>
    <t>META 5 alta odontologica menores de 20 años (24%)</t>
  </si>
  <si>
    <t>META 9 Cobertura de Evaluación del desarrollo Psicomotor de niños/as de 12 a 23 meses bajo control. (94%)</t>
  </si>
  <si>
    <t>META 10 Visita domiciliaria integral (0,22)</t>
  </si>
  <si>
    <t>META 11 Cobertura de Atención de Asma en Población general y EPOC en personas de 40 años y más (22%)</t>
  </si>
  <si>
    <t>META 12 Cobertura de Atención Integral de trastornos mentales en personas de 5 y más años (17%)</t>
  </si>
  <si>
    <t>ANDACOLLO</t>
  </si>
  <si>
    <t>04103</t>
  </si>
  <si>
    <t xml:space="preserve">Hospital Dr. José Arraño (Andacollo)                                                                </t>
  </si>
  <si>
    <t xml:space="preserve">05-106    </t>
  </si>
  <si>
    <t>Combarbalá</t>
  </si>
  <si>
    <t>04302</t>
  </si>
  <si>
    <t xml:space="preserve">Hospital San Juan de Dios (Combarbalá)                                                              </t>
  </si>
  <si>
    <t xml:space="preserve">05-105    </t>
  </si>
  <si>
    <t>04201</t>
  </si>
  <si>
    <t xml:space="preserve">Hospital San Juan de Dios (Illapel)                                                                 </t>
  </si>
  <si>
    <t xml:space="preserve">05-103    </t>
  </si>
  <si>
    <t>04203</t>
  </si>
  <si>
    <t xml:space="preserve">Hospital San Pedro (Los Vilos)                                                                      </t>
  </si>
  <si>
    <t xml:space="preserve">05-108    </t>
  </si>
  <si>
    <t>04204</t>
  </si>
  <si>
    <t xml:space="preserve">Hospital de Salamanca                                                                               </t>
  </si>
  <si>
    <t xml:space="preserve">05-104    </t>
  </si>
  <si>
    <t>04106</t>
  </si>
  <si>
    <t xml:space="preserve">Hospital San Juan de Dios (Vicuña)                                                                  </t>
  </si>
  <si>
    <t xml:space="preserve">05-107    </t>
  </si>
  <si>
    <t>METAS A JUNIO</t>
  </si>
  <si>
    <t>METAS A AGOSTO</t>
  </si>
  <si>
    <t>METAS A OCTUBRE</t>
  </si>
  <si>
    <t>Población masculina de 20 a 44 años beneficiaria FONASA</t>
  </si>
  <si>
    <t>Población masculina de 20 a 44 beneficiaria FONASA, menos población bajo control en Programa Salud Cardiovascular</t>
  </si>
  <si>
    <t>Población femenina de 45 a 64 años beneficiaria FONASA, menos población bajo control en Programa Salud Cardiovascular</t>
  </si>
  <si>
    <t>Población femenina de 45 a 64 años beneficiaria FONASA</t>
  </si>
  <si>
    <t>Población beneficiaria FONASA menor de 20 años</t>
  </si>
  <si>
    <t>Población 15-64 años estimada según prevalencia (población beneficiaria FONASA de 15 a 64 años x 10%)</t>
  </si>
  <si>
    <t>Población 65 y más años estimada según prevalencia (población beneficiaria FONASA de 65 y más años x 25%)</t>
  </si>
  <si>
    <t>Población 15-64 años estimada según prevalencia (población beneficiaria FONASA de 15 a 64 años x 15,7%)</t>
  </si>
  <si>
    <t>Población 65 y más años estimada según prevalencia (población beneficiaria FONASA de 65 y más años x 64,3%)</t>
  </si>
  <si>
    <t>Nº de familias (población beneficiaria FONASA / 4)</t>
  </si>
  <si>
    <t>Población con Asma Bronquial de 3 años y más, estimada según prevalencia (población beneficiaria FONASA de 3 y más años x 10%)</t>
  </si>
  <si>
    <t>Población con EPOC de 40 años y más estimada según prevalencia (población beneficiaria FONASA de 40 y más años x 8%)</t>
  </si>
  <si>
    <t>A DIC 2015</t>
  </si>
  <si>
    <t>Nº de adultos de 65 y más años beneficiaria 2015 FONASA</t>
  </si>
  <si>
    <t xml:space="preserve">META 12: COBERTURA DE ATENCIÓN INTEGRAL A PERSONAS DE 5 AÑOS Y MAS CON TRASTORNOS MENTALES </t>
  </si>
  <si>
    <t>Nº de personas de 5 años y más con trastorno mental bajo control</t>
  </si>
  <si>
    <t>Ingresos de personas con trastorno mental de 5 años y más</t>
  </si>
  <si>
    <t>Egresos de personas con trastorno mental de 5 años y más</t>
  </si>
  <si>
    <t>Nº de personas con trastorno mental estimada según prevalencia de 5 años y más  (población estimada de 5 y más años x 22%)</t>
  </si>
  <si>
    <t xml:space="preserve">TOTAL </t>
  </si>
  <si>
    <t>META 13: COBERTURA DE CONTROL DE SALUD INTEGRAL EN ADOLESCENTES DE 10 14 AÑOS</t>
  </si>
  <si>
    <t xml:space="preserve">Nº de controles  de salud integral, realizados a adolescentes  de 10 a 14 años </t>
  </si>
  <si>
    <t>Población adolescente de 10 a 14 años beneficiaria</t>
  </si>
  <si>
    <t>META 6 gestion de reclamos (97%)</t>
  </si>
  <si>
    <t>META 7 Cobertura DM2 en personas de 15 y mas años                    (55%)</t>
  </si>
  <si>
    <t>META 8 Cobertutra HTA en personas de 15 y mas años              (71%)</t>
  </si>
  <si>
    <t>META 13 Cobertura de Control de salud Integral adolescente de 10 a 14 años             (15%)</t>
  </si>
  <si>
    <t>MINISTERIO DE SALUD</t>
  </si>
  <si>
    <t>SERVICIO DE SALUD COQUIMBO</t>
  </si>
  <si>
    <t>SUBDIRECCION DE GESTION  ASISTENCIAL</t>
  </si>
  <si>
    <t>SUBDEPTO DE ESTADÍSTICA Y GESTIÓN DE LA INFORMACIÓN</t>
  </si>
  <si>
    <t>METAS COMPONENTE ACTIVIDAD GENERAL</t>
  </si>
  <si>
    <t>META Nº1</t>
  </si>
  <si>
    <t>META Nº2</t>
  </si>
  <si>
    <t>META Nº3</t>
  </si>
  <si>
    <t>META Nº4</t>
  </si>
  <si>
    <t>META Nº5</t>
  </si>
  <si>
    <t>META Nº6</t>
  </si>
  <si>
    <t>META Nº7</t>
  </si>
  <si>
    <t>META Nº8</t>
  </si>
  <si>
    <t>META Nº9</t>
  </si>
  <si>
    <t>META Nº10</t>
  </si>
  <si>
    <t>META Nº11</t>
  </si>
  <si>
    <t>META Nº12</t>
  </si>
  <si>
    <t>META Nº13</t>
  </si>
  <si>
    <t xml:space="preserve">EMP hombres 20 a 44 años </t>
  </si>
  <si>
    <t>EMP mujeres de 45 a 64 años</t>
  </si>
  <si>
    <t>EMP 65 y mas años</t>
  </si>
  <si>
    <t xml:space="preserve">Control embarazada </t>
  </si>
  <si>
    <t xml:space="preserve">Alta odontologica menores de 20 años </t>
  </si>
  <si>
    <t>Gestion de reclamos</t>
  </si>
  <si>
    <t xml:space="preserve">Cobertura DM2 en personas de 15 y mas años </t>
  </si>
  <si>
    <t xml:space="preserve">Cobertutra HTA en personas de 15 y mas años </t>
  </si>
  <si>
    <t>Cobertura de Evaluación del desarrollo Psicomotor de niños/as de 12 a 23 meses bajo control</t>
  </si>
  <si>
    <t xml:space="preserve">Visita domiciliaria integral </t>
  </si>
  <si>
    <t>Cobertura de Atención de Asma en Población general y EPOC en personas de 40 años y más</t>
  </si>
  <si>
    <t xml:space="preserve"> Cobertura de Atención Integral de trastornos mentales en personas de 5 y más años </t>
  </si>
  <si>
    <t xml:space="preserve">Cobertura de control de salud integral a adolescentes de 10 a 14 años </t>
  </si>
  <si>
    <t>HOSPITAL ANDACOLLO</t>
  </si>
  <si>
    <t>HOSPITAL VICUÑA</t>
  </si>
  <si>
    <t>HOSPITAL ILLAPEL</t>
  </si>
  <si>
    <t>HOSPITAL LOS VILOS</t>
  </si>
  <si>
    <t>HOSPITAL SALAMANCA</t>
  </si>
  <si>
    <t>HOSPITAL COMBARBALÁ</t>
  </si>
  <si>
    <t>CUMPLIMIENTO GENERAL</t>
  </si>
  <si>
    <t>RESUMEN DE CUMPLIMIENTO DE METAS A JUNIO 2016</t>
  </si>
  <si>
    <t>CORTE A ABRIL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</si>
</sst>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0.0%"/>
    <numFmt numFmtId="174" formatCode="#,##0_ ;\-#,##0\ "/>
    <numFmt numFmtId="175" formatCode="_-* #,##0.0_-;\-* #,##0.0_-;_-* &quot;-&quot;??_-;_-@_-"/>
    <numFmt numFmtId="176" formatCode="0.000%"/>
    <numFmt numFmtId="177" formatCode="0.0"/>
    <numFmt numFmtId="178" formatCode="0.000"/>
    <numFmt numFmtId="179" formatCode="0.0000"/>
    <numFmt numFmtId="180" formatCode="#,##0.0"/>
    <numFmt numFmtId="181" formatCode="_(* #,##0.00_);_(* \(#,##0.00\);_(* &quot;-&quot;??_);_(@_)"/>
    <numFmt numFmtId="182" formatCode="0.00000"/>
    <numFmt numFmtId="183" formatCode="0.0000000"/>
    <numFmt numFmtId="184" formatCode="0.00000000"/>
    <numFmt numFmtId="185" formatCode="0.000000000"/>
    <numFmt numFmtId="186" formatCode="0.00000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2"/>
      <name val="Trebuchet MS"/>
      <family val="2"/>
    </font>
    <font>
      <sz val="11"/>
      <color indexed="8"/>
      <name val="Trebuchet MS"/>
      <family val="2"/>
    </font>
    <font>
      <sz val="10"/>
      <name val="Arial"/>
      <family val="2"/>
    </font>
    <font>
      <b/>
      <sz val="10"/>
      <color indexed="8"/>
      <name val="Verdana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sz val="11"/>
      <color indexed="63"/>
      <name val="Trebuchet MS"/>
      <family val="2"/>
    </font>
    <font>
      <b/>
      <sz val="11"/>
      <color indexed="10"/>
      <name val="Trebuchet MS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10"/>
      <name val="Verdana"/>
      <family val="2"/>
    </font>
    <font>
      <sz val="8"/>
      <color indexed="9"/>
      <name val="Calibri"/>
      <family val="2"/>
    </font>
    <font>
      <sz val="11"/>
      <color indexed="8"/>
      <name val="Verdana"/>
      <family val="2"/>
    </font>
    <font>
      <sz val="10"/>
      <color indexed="9"/>
      <name val="Verdana"/>
      <family val="2"/>
    </font>
    <font>
      <sz val="8"/>
      <color indexed="9"/>
      <name val="Verdana"/>
      <family val="2"/>
    </font>
    <font>
      <b/>
      <sz val="11"/>
      <color indexed="8"/>
      <name val="Verdana"/>
      <family val="2"/>
    </font>
    <font>
      <sz val="9"/>
      <color indexed="9"/>
      <name val="Verdana"/>
      <family val="2"/>
    </font>
    <font>
      <b/>
      <sz val="11"/>
      <color indexed="9"/>
      <name val="Verdana"/>
      <family val="2"/>
    </font>
    <font>
      <b/>
      <sz val="11"/>
      <color indexed="43"/>
      <name val="Verdana"/>
      <family val="2"/>
    </font>
    <font>
      <b/>
      <sz val="9"/>
      <color indexed="43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9"/>
      <color indexed="9"/>
      <name val="Verdana"/>
      <family val="2"/>
    </font>
    <font>
      <b/>
      <sz val="10"/>
      <color indexed="43"/>
      <name val="Verdana"/>
      <family val="2"/>
    </font>
    <font>
      <sz val="14"/>
      <color indexed="9"/>
      <name val="Calibri"/>
      <family val="2"/>
    </font>
    <font>
      <sz val="22"/>
      <color indexed="9"/>
      <name val="Calibri"/>
      <family val="2"/>
    </font>
    <font>
      <sz val="22"/>
      <color indexed="9"/>
      <name val="Verdana"/>
      <family val="2"/>
    </font>
    <font>
      <sz val="14"/>
      <color indexed="9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b/>
      <sz val="11"/>
      <color theme="1" tint="0.15000000596046448"/>
      <name val="Trebuchet MS"/>
      <family val="2"/>
    </font>
    <font>
      <b/>
      <sz val="11"/>
      <color rgb="FFFF0000"/>
      <name val="Trebuchet MS"/>
      <family val="2"/>
    </font>
    <font>
      <sz val="8"/>
      <color theme="1"/>
      <name val="Calibri"/>
      <family val="2"/>
    </font>
    <font>
      <b/>
      <sz val="10"/>
      <color theme="1"/>
      <name val="Verdana"/>
      <family val="2"/>
    </font>
    <font>
      <b/>
      <sz val="10"/>
      <color rgb="FFFF0000"/>
      <name val="Verdana"/>
      <family val="2"/>
    </font>
    <font>
      <sz val="8"/>
      <color rgb="FFFFFFFF"/>
      <name val="Calibri"/>
      <family val="2"/>
    </font>
    <font>
      <sz val="11"/>
      <color theme="1"/>
      <name val="Verdana"/>
      <family val="2"/>
    </font>
    <font>
      <sz val="10"/>
      <color rgb="FFFFFFFF"/>
      <name val="Verdana"/>
      <family val="2"/>
    </font>
    <font>
      <sz val="8"/>
      <color rgb="FFFFFFFF"/>
      <name val="Verdana"/>
      <family val="2"/>
    </font>
    <font>
      <b/>
      <sz val="11"/>
      <color theme="1"/>
      <name val="Verdana"/>
      <family val="2"/>
    </font>
    <font>
      <sz val="9"/>
      <color theme="0"/>
      <name val="Verdana"/>
      <family val="2"/>
    </font>
    <font>
      <b/>
      <sz val="11"/>
      <color theme="0"/>
      <name val="Verdana"/>
      <family val="2"/>
    </font>
    <font>
      <b/>
      <sz val="11"/>
      <color theme="2" tint="-0.09996999800205231"/>
      <name val="Verdana"/>
      <family val="2"/>
    </font>
    <font>
      <b/>
      <sz val="9"/>
      <color theme="2" tint="-0.0999699980020523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theme="2" tint="-0.09996999800205231"/>
      <name val="Verdana"/>
      <family val="2"/>
    </font>
    <font>
      <b/>
      <sz val="9"/>
      <color theme="0"/>
      <name val="Verdana"/>
      <family val="2"/>
    </font>
    <font>
      <sz val="22"/>
      <color rgb="FFFFFFFF"/>
      <name val="Calibri"/>
      <family val="2"/>
    </font>
    <font>
      <sz val="14"/>
      <color rgb="FFFFFFFF"/>
      <name val="Calibri"/>
      <family val="2"/>
    </font>
    <font>
      <sz val="22"/>
      <color rgb="FFFFFFFF"/>
      <name val="Verdana"/>
      <family val="2"/>
    </font>
    <font>
      <sz val="14"/>
      <color rgb="FFFFFFFF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0FFC1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EBEBEB"/>
      </left>
      <right style="medium">
        <color rgb="FFEBEBEB"/>
      </right>
      <top style="medium">
        <color rgb="FFEBEBEB"/>
      </top>
      <bottom style="medium">
        <color rgb="FFEBEBEB"/>
      </bottom>
    </border>
    <border>
      <left style="medium">
        <color rgb="FFEBEBEB"/>
      </left>
      <right/>
      <top style="medium">
        <color rgb="FFEBEBEB"/>
      </top>
      <bottom style="medium">
        <color rgb="FFEBEBEB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>
        <color rgb="FFEBEBEB"/>
      </right>
      <top style="medium">
        <color rgb="FFEBEBEB"/>
      </top>
      <bottom style="medium">
        <color rgb="FFEBEBEB"/>
      </bottom>
    </border>
    <border>
      <left/>
      <right/>
      <top/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/>
      <right/>
      <top style="medium">
        <color theme="0"/>
      </top>
      <bottom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rgb="FFEBEBEB"/>
      </left>
      <right style="medium">
        <color rgb="FFEBEBEB"/>
      </right>
      <top/>
      <bottom style="medium">
        <color rgb="FFEBEBEB"/>
      </bottom>
    </border>
    <border>
      <left style="medium">
        <color rgb="FFEBEBEB"/>
      </left>
      <right/>
      <top/>
      <bottom style="medium">
        <color rgb="FFEBEBEB"/>
      </bottom>
    </border>
    <border>
      <left/>
      <right/>
      <top/>
      <bottom style="medium">
        <color rgb="FFEBEBEB"/>
      </bottom>
    </border>
    <border>
      <left/>
      <right style="medium">
        <color rgb="FFEBEBEB"/>
      </right>
      <top/>
      <bottom style="medium">
        <color rgb="FFEBEBEB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ck">
        <color theme="0"/>
      </right>
      <top style="thick">
        <color theme="0"/>
      </top>
      <bottom/>
    </border>
    <border>
      <left>
        <color indexed="63"/>
      </left>
      <right style="thick">
        <color theme="0"/>
      </right>
      <top/>
      <bottom/>
    </border>
    <border>
      <left>
        <color indexed="63"/>
      </left>
      <right style="thick">
        <color theme="0"/>
      </right>
      <top/>
      <bottom style="thick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 style="medium">
        <color rgb="FFEBEBEB"/>
      </left>
      <right style="medium">
        <color rgb="FFEBEBEB"/>
      </right>
      <top style="medium">
        <color rgb="FFFFFFFF"/>
      </top>
      <bottom/>
    </border>
    <border>
      <left style="medium">
        <color rgb="FFEBEBEB"/>
      </left>
      <right style="medium">
        <color rgb="FFEBEBEB"/>
      </right>
      <top/>
      <bottom/>
    </border>
    <border>
      <left style="medium">
        <color theme="0"/>
      </left>
      <right/>
      <top style="medium">
        <color theme="0"/>
      </top>
      <bottom/>
    </border>
    <border>
      <left style="medium">
        <color theme="0"/>
      </left>
      <right/>
      <top/>
      <bottom/>
    </border>
    <border>
      <left/>
      <right style="medium">
        <color theme="0"/>
      </right>
      <top style="medium">
        <color theme="0"/>
      </top>
      <bottom/>
    </border>
    <border>
      <left/>
      <right style="medium">
        <color theme="0"/>
      </right>
      <top/>
      <bottom/>
    </border>
    <border>
      <left style="thick">
        <color theme="0"/>
      </left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 style="thick">
        <color theme="0"/>
      </bottom>
    </border>
    <border>
      <left/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/>
    </border>
    <border>
      <left style="thick">
        <color theme="0"/>
      </left>
      <right style="thick">
        <color theme="0"/>
      </right>
      <top/>
      <bottom/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 style="medium">
        <color rgb="FFEBEBEB"/>
      </left>
      <right/>
      <top/>
      <bottom/>
    </border>
    <border>
      <left/>
      <right/>
      <top style="medium">
        <color rgb="FFEBEBEB"/>
      </top>
      <bottom/>
    </border>
    <border>
      <left style="thick">
        <color theme="0"/>
      </left>
      <right/>
      <top/>
      <bottom/>
    </border>
    <border>
      <left style="thick">
        <color theme="0"/>
      </left>
      <right/>
      <top/>
      <bottom style="thick">
        <color theme="0"/>
      </bottom>
    </border>
    <border>
      <left/>
      <right/>
      <top/>
      <bottom style="thick">
        <color theme="0"/>
      </bottom>
    </border>
    <border>
      <left style="thick">
        <color theme="0"/>
      </left>
      <right/>
      <top style="thick">
        <color theme="0"/>
      </top>
      <bottom/>
    </border>
    <border>
      <left/>
      <right/>
      <top style="thick">
        <color theme="0"/>
      </top>
      <bottom/>
    </border>
    <border>
      <left style="thick">
        <color theme="0"/>
      </left>
      <right style="thick">
        <color theme="0"/>
      </right>
      <top style="medium">
        <color theme="0"/>
      </top>
      <bottom>
        <color indexed="63"/>
      </bottom>
    </border>
    <border>
      <left style="thick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thick">
        <color theme="0"/>
      </left>
      <right style="medium">
        <color theme="0"/>
      </right>
      <top>
        <color indexed="63"/>
      </top>
      <bottom style="thick">
        <color theme="0"/>
      </bottom>
    </border>
    <border>
      <left>
        <color indexed="63"/>
      </left>
      <right style="thick">
        <color theme="0"/>
      </right>
      <top>
        <color indexed="63"/>
      </top>
      <bottom style="medium">
        <color theme="0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5" fillId="0" borderId="8" applyNumberFormat="0" applyFill="0" applyAlignment="0" applyProtection="0"/>
    <xf numFmtId="0" fontId="67" fillId="0" borderId="9" applyNumberFormat="0" applyFill="0" applyAlignment="0" applyProtection="0"/>
  </cellStyleXfs>
  <cellXfs count="269">
    <xf numFmtId="0" fontId="0" fillId="0" borderId="0" xfId="0" applyFont="1" applyAlignment="1">
      <alignment/>
    </xf>
    <xf numFmtId="49" fontId="68" fillId="0" borderId="10" xfId="0" applyNumberFormat="1" applyFont="1" applyFill="1" applyBorder="1" applyAlignment="1">
      <alignment horizontal="left" wrapText="1"/>
    </xf>
    <xf numFmtId="0" fontId="68" fillId="0" borderId="10" xfId="0" applyFont="1" applyFill="1" applyBorder="1" applyAlignment="1">
      <alignment horizontal="center" wrapText="1"/>
    </xf>
    <xf numFmtId="0" fontId="68" fillId="0" borderId="11" xfId="0" applyFont="1" applyFill="1" applyBorder="1" applyAlignment="1">
      <alignment horizontal="center" wrapText="1"/>
    </xf>
    <xf numFmtId="0" fontId="68" fillId="33" borderId="10" xfId="0" applyFont="1" applyFill="1" applyBorder="1" applyAlignment="1">
      <alignment horizontal="center" wrapText="1"/>
    </xf>
    <xf numFmtId="0" fontId="68" fillId="33" borderId="11" xfId="0" applyFont="1" applyFill="1" applyBorder="1" applyAlignment="1">
      <alignment horizontal="center" wrapText="1"/>
    </xf>
    <xf numFmtId="0" fontId="68" fillId="34" borderId="10" xfId="0" applyFont="1" applyFill="1" applyBorder="1" applyAlignment="1">
      <alignment horizontal="center" wrapText="1"/>
    </xf>
    <xf numFmtId="0" fontId="68" fillId="34" borderId="11" xfId="0" applyFont="1" applyFill="1" applyBorder="1" applyAlignment="1">
      <alignment horizontal="center" wrapText="1"/>
    </xf>
    <xf numFmtId="172" fontId="2" fillId="8" borderId="11" xfId="48" applyNumberFormat="1" applyFont="1" applyFill="1" applyBorder="1" applyAlignment="1">
      <alignment horizontal="center" wrapText="1"/>
    </xf>
    <xf numFmtId="172" fontId="0" fillId="0" borderId="0" xfId="0" applyNumberFormat="1" applyAlignment="1">
      <alignment/>
    </xf>
    <xf numFmtId="172" fontId="68" fillId="33" borderId="10" xfId="48" applyNumberFormat="1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9" fontId="69" fillId="6" borderId="12" xfId="0" applyNumberFormat="1" applyFont="1" applyFill="1" applyBorder="1" applyAlignment="1">
      <alignment horizontal="center" vertical="center" wrapText="1"/>
    </xf>
    <xf numFmtId="9" fontId="70" fillId="6" borderId="12" xfId="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172" fontId="0" fillId="0" borderId="0" xfId="48" applyNumberFormat="1" applyFont="1" applyAlignment="1">
      <alignment/>
    </xf>
    <xf numFmtId="172" fontId="68" fillId="34" borderId="11" xfId="48" applyNumberFormat="1" applyFont="1" applyFill="1" applyBorder="1" applyAlignment="1">
      <alignment horizontal="center" wrapText="1"/>
    </xf>
    <xf numFmtId="172" fontId="68" fillId="0" borderId="11" xfId="48" applyNumberFormat="1" applyFont="1" applyFill="1" applyBorder="1" applyAlignment="1">
      <alignment horizontal="center" wrapText="1"/>
    </xf>
    <xf numFmtId="172" fontId="68" fillId="0" borderId="10" xfId="48" applyNumberFormat="1" applyFont="1" applyFill="1" applyBorder="1" applyAlignment="1">
      <alignment horizontal="center" wrapText="1"/>
    </xf>
    <xf numFmtId="172" fontId="68" fillId="34" borderId="10" xfId="48" applyNumberFormat="1" applyFont="1" applyFill="1" applyBorder="1" applyAlignment="1">
      <alignment horizontal="center" wrapText="1"/>
    </xf>
    <xf numFmtId="172" fontId="0" fillId="0" borderId="0" xfId="48" applyNumberFormat="1" applyFont="1" applyAlignment="1">
      <alignment/>
    </xf>
    <xf numFmtId="172" fontId="6" fillId="0" borderId="10" xfId="48" applyNumberFormat="1" applyFont="1" applyFill="1" applyBorder="1" applyAlignment="1">
      <alignment horizontal="center" wrapText="1"/>
    </xf>
    <xf numFmtId="0" fontId="30" fillId="36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1" fillId="34" borderId="12" xfId="57" applyFont="1" applyFill="1" applyBorder="1" applyAlignment="1" applyProtection="1">
      <alignment vertical="center"/>
      <protection/>
    </xf>
    <xf numFmtId="0" fontId="31" fillId="34" borderId="12" xfId="56" applyFont="1" applyFill="1" applyBorder="1" applyAlignment="1" applyProtection="1">
      <alignment horizontal="center" vertical="center"/>
      <protection/>
    </xf>
    <xf numFmtId="0" fontId="31" fillId="34" borderId="12" xfId="0" applyFont="1" applyFill="1" applyBorder="1" applyAlignment="1" applyProtection="1">
      <alignment vertical="center"/>
      <protection/>
    </xf>
    <xf numFmtId="0" fontId="31" fillId="0" borderId="12" xfId="0" applyFont="1" applyBorder="1" applyAlignment="1">
      <alignment/>
    </xf>
    <xf numFmtId="10" fontId="31" fillId="37" borderId="12" xfId="61" applyNumberFormat="1" applyFont="1" applyFill="1" applyBorder="1" applyAlignment="1" applyProtection="1">
      <alignment horizontal="center" vertical="center"/>
      <protection/>
    </xf>
    <xf numFmtId="173" fontId="0" fillId="37" borderId="12" xfId="0" applyNumberFormat="1" applyFont="1" applyFill="1" applyBorder="1" applyAlignment="1">
      <alignment horizontal="center"/>
    </xf>
    <xf numFmtId="0" fontId="31" fillId="34" borderId="12" xfId="0" applyFont="1" applyFill="1" applyBorder="1" applyAlignment="1" applyProtection="1">
      <alignment horizontal="center" vertical="center"/>
      <protection/>
    </xf>
    <xf numFmtId="173" fontId="31" fillId="37" borderId="12" xfId="0" applyNumberFormat="1" applyFont="1" applyFill="1" applyBorder="1" applyAlignment="1">
      <alignment horizontal="center"/>
    </xf>
    <xf numFmtId="0" fontId="31" fillId="34" borderId="12" xfId="0" applyFont="1" applyFill="1" applyBorder="1" applyAlignment="1" applyProtection="1">
      <alignment horizontal="left" vertical="center"/>
      <protection/>
    </xf>
    <xf numFmtId="2" fontId="31" fillId="37" borderId="12" xfId="0" applyNumberFormat="1" applyFont="1" applyFill="1" applyBorder="1" applyAlignment="1" applyProtection="1">
      <alignment horizontal="center"/>
      <protection/>
    </xf>
    <xf numFmtId="173" fontId="31" fillId="37" borderId="12" xfId="51" applyNumberFormat="1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Alignment="1">
      <alignment/>
    </xf>
    <xf numFmtId="10" fontId="31" fillId="37" borderId="12" xfId="51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31" fillId="34" borderId="13" xfId="57" applyFont="1" applyFill="1" applyBorder="1" applyAlignment="1" applyProtection="1">
      <alignment vertical="center"/>
      <protection/>
    </xf>
    <xf numFmtId="0" fontId="31" fillId="34" borderId="13" xfId="56" applyFont="1" applyFill="1" applyBorder="1" applyAlignment="1" applyProtection="1">
      <alignment horizontal="center" vertical="center"/>
      <protection/>
    </xf>
    <xf numFmtId="0" fontId="31" fillId="34" borderId="13" xfId="0" applyFont="1" applyFill="1" applyBorder="1" applyAlignment="1">
      <alignment wrapText="1"/>
    </xf>
    <xf numFmtId="0" fontId="31" fillId="34" borderId="13" xfId="0" applyFont="1" applyFill="1" applyBorder="1" applyAlignment="1" applyProtection="1">
      <alignment vertical="center"/>
      <protection/>
    </xf>
    <xf numFmtId="0" fontId="31" fillId="0" borderId="13" xfId="0" applyFont="1" applyBorder="1" applyAlignment="1">
      <alignment/>
    </xf>
    <xf numFmtId="10" fontId="31" fillId="37" borderId="13" xfId="61" applyNumberFormat="1" applyFont="1" applyFill="1" applyBorder="1" applyAlignment="1" applyProtection="1">
      <alignment horizontal="center" vertical="center"/>
      <protection/>
    </xf>
    <xf numFmtId="173" fontId="0" fillId="37" borderId="13" xfId="0" applyNumberFormat="1" applyFont="1" applyFill="1" applyBorder="1" applyAlignment="1">
      <alignment horizontal="center"/>
    </xf>
    <xf numFmtId="9" fontId="31" fillId="37" borderId="13" xfId="0" applyNumberFormat="1" applyFont="1" applyFill="1" applyBorder="1" applyAlignment="1" applyProtection="1">
      <alignment horizontal="right" vertical="center" wrapText="1"/>
      <protection/>
    </xf>
    <xf numFmtId="2" fontId="31" fillId="37" borderId="13" xfId="0" applyNumberFormat="1" applyFont="1" applyFill="1" applyBorder="1" applyAlignment="1" applyProtection="1">
      <alignment horizontal="center"/>
      <protection/>
    </xf>
    <xf numFmtId="173" fontId="31" fillId="37" borderId="13" xfId="51" applyNumberFormat="1" applyFont="1" applyFill="1" applyBorder="1" applyAlignment="1" applyProtection="1">
      <alignment horizontal="right" vertical="center" wrapText="1"/>
      <protection/>
    </xf>
    <xf numFmtId="0" fontId="30" fillId="36" borderId="12" xfId="0" applyFont="1" applyFill="1" applyBorder="1" applyAlignment="1">
      <alignment vertical="center" wrapText="1"/>
    </xf>
    <xf numFmtId="0" fontId="30" fillId="36" borderId="12" xfId="0" applyFont="1" applyFill="1" applyBorder="1" applyAlignment="1">
      <alignment horizontal="left" vertical="center" wrapText="1"/>
    </xf>
    <xf numFmtId="171" fontId="30" fillId="36" borderId="12" xfId="50" applyFont="1" applyFill="1" applyBorder="1" applyAlignment="1">
      <alignment horizontal="center" vertical="center" wrapText="1"/>
    </xf>
    <xf numFmtId="0" fontId="30" fillId="36" borderId="13" xfId="0" applyFont="1" applyFill="1" applyBorder="1" applyAlignment="1">
      <alignment horizontal="center" vertical="center" wrapText="1"/>
    </xf>
    <xf numFmtId="0" fontId="30" fillId="36" borderId="13" xfId="0" applyFont="1" applyFill="1" applyBorder="1" applyAlignment="1">
      <alignment vertical="center" wrapText="1"/>
    </xf>
    <xf numFmtId="0" fontId="30" fillId="36" borderId="13" xfId="0" applyFont="1" applyFill="1" applyBorder="1" applyAlignment="1">
      <alignment horizontal="left" vertical="center" wrapText="1"/>
    </xf>
    <xf numFmtId="9" fontId="31" fillId="37" borderId="13" xfId="60" applyFont="1" applyFill="1" applyBorder="1" applyAlignment="1">
      <alignment horizontal="center" vertical="center" wrapText="1"/>
    </xf>
    <xf numFmtId="9" fontId="31" fillId="37" borderId="12" xfId="60" applyFont="1" applyFill="1" applyBorder="1" applyAlignment="1">
      <alignment horizontal="center" vertical="center" wrapText="1"/>
    </xf>
    <xf numFmtId="9" fontId="0" fillId="37" borderId="13" xfId="60" applyFont="1" applyFill="1" applyBorder="1" applyAlignment="1">
      <alignment horizontal="right" vertical="center" wrapText="1"/>
    </xf>
    <xf numFmtId="9" fontId="31" fillId="37" borderId="13" xfId="60" applyFont="1" applyFill="1" applyBorder="1" applyAlignment="1">
      <alignment horizontal="center" vertical="center"/>
    </xf>
    <xf numFmtId="9" fontId="31" fillId="37" borderId="12" xfId="60" applyFont="1" applyFill="1" applyBorder="1" applyAlignment="1">
      <alignment horizontal="center" vertical="center"/>
    </xf>
    <xf numFmtId="9" fontId="31" fillId="37" borderId="13" xfId="60" applyFont="1" applyFill="1" applyBorder="1" applyAlignment="1" applyProtection="1">
      <alignment horizontal="right" vertical="center" wrapText="1"/>
      <protection/>
    </xf>
    <xf numFmtId="9" fontId="31" fillId="37" borderId="12" xfId="60" applyFont="1" applyFill="1" applyBorder="1" applyAlignment="1" applyProtection="1">
      <alignment horizontal="right" vertical="center" wrapText="1"/>
      <protection/>
    </xf>
    <xf numFmtId="2" fontId="31" fillId="37" borderId="13" xfId="61" applyNumberFormat="1" applyFont="1" applyFill="1" applyBorder="1" applyAlignment="1" applyProtection="1">
      <alignment horizontal="center" vertical="center"/>
      <protection/>
    </xf>
    <xf numFmtId="172" fontId="68" fillId="0" borderId="14" xfId="0" applyNumberFormat="1" applyFont="1" applyFill="1" applyBorder="1" applyAlignment="1">
      <alignment horizontal="left" wrapText="1"/>
    </xf>
    <xf numFmtId="172" fontId="68" fillId="33" borderId="11" xfId="48" applyNumberFormat="1" applyFont="1" applyFill="1" applyBorder="1" applyAlignment="1">
      <alignment horizontal="center" wrapText="1"/>
    </xf>
    <xf numFmtId="0" fontId="68" fillId="0" borderId="0" xfId="0" applyFont="1" applyAlignment="1">
      <alignment horizontal="left" indent="1"/>
    </xf>
    <xf numFmtId="0" fontId="68" fillId="0" borderId="0" xfId="0" applyNumberFormat="1" applyFont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Alignment="1">
      <alignment/>
    </xf>
    <xf numFmtId="0" fontId="72" fillId="0" borderId="0" xfId="0" applyFont="1" applyFill="1" applyBorder="1" applyAlignment="1">
      <alignment horizontal="left" indent="1"/>
    </xf>
    <xf numFmtId="0" fontId="72" fillId="0" borderId="0" xfId="0" applyFont="1" applyAlignment="1">
      <alignment/>
    </xf>
    <xf numFmtId="0" fontId="72" fillId="0" borderId="0" xfId="0" applyFont="1" applyAlignment="1">
      <alignment horizontal="left" indent="1"/>
    </xf>
    <xf numFmtId="0" fontId="72" fillId="0" borderId="0" xfId="0" applyNumberFormat="1" applyFont="1" applyAlignment="1">
      <alignment/>
    </xf>
    <xf numFmtId="0" fontId="72" fillId="0" borderId="0" xfId="0" applyFont="1" applyFill="1" applyAlignment="1">
      <alignment/>
    </xf>
    <xf numFmtId="1" fontId="68" fillId="0" borderId="0" xfId="48" applyNumberFormat="1" applyFont="1" applyAlignment="1">
      <alignment/>
    </xf>
    <xf numFmtId="1" fontId="68" fillId="0" borderId="0" xfId="0" applyNumberFormat="1" applyFont="1" applyAlignment="1">
      <alignment/>
    </xf>
    <xf numFmtId="172" fontId="72" fillId="0" borderId="0" xfId="48" applyNumberFormat="1" applyFont="1" applyAlignment="1">
      <alignment/>
    </xf>
    <xf numFmtId="172" fontId="68" fillId="0" borderId="0" xfId="48" applyNumberFormat="1" applyFont="1" applyAlignment="1">
      <alignment/>
    </xf>
    <xf numFmtId="174" fontId="68" fillId="0" borderId="0" xfId="48" applyNumberFormat="1" applyFont="1" applyAlignment="1">
      <alignment/>
    </xf>
    <xf numFmtId="0" fontId="68" fillId="0" borderId="0" xfId="0" applyFont="1" applyFill="1" applyAlignment="1">
      <alignment horizontal="left" indent="1"/>
    </xf>
    <xf numFmtId="172" fontId="68" fillId="0" borderId="0" xfId="48" applyNumberFormat="1" applyFont="1" applyFill="1" applyAlignment="1">
      <alignment/>
    </xf>
    <xf numFmtId="172" fontId="6" fillId="0" borderId="0" xfId="48" applyNumberFormat="1" applyFont="1" applyAlignment="1">
      <alignment/>
    </xf>
    <xf numFmtId="10" fontId="72" fillId="33" borderId="15" xfId="60" applyNumberFormat="1" applyFont="1" applyFill="1" applyBorder="1" applyAlignment="1">
      <alignment horizontal="left" wrapText="1"/>
    </xf>
    <xf numFmtId="10" fontId="72" fillId="33" borderId="16" xfId="60" applyNumberFormat="1" applyFont="1" applyFill="1" applyBorder="1" applyAlignment="1">
      <alignment horizontal="left" wrapText="1"/>
    </xf>
    <xf numFmtId="10" fontId="72" fillId="33" borderId="17" xfId="60" applyNumberFormat="1" applyFont="1" applyFill="1" applyBorder="1" applyAlignment="1">
      <alignment horizontal="left" wrapText="1"/>
    </xf>
    <xf numFmtId="10" fontId="73" fillId="33" borderId="18" xfId="60" applyNumberFormat="1" applyFont="1" applyFill="1" applyBorder="1" applyAlignment="1">
      <alignment horizontal="left" wrapText="1"/>
    </xf>
    <xf numFmtId="10" fontId="72" fillId="33" borderId="15" xfId="60" applyNumberFormat="1" applyFont="1" applyFill="1" applyBorder="1" applyAlignment="1">
      <alignment horizontal="center" wrapText="1"/>
    </xf>
    <xf numFmtId="2" fontId="72" fillId="33" borderId="15" xfId="60" applyNumberFormat="1" applyFont="1" applyFill="1" applyBorder="1" applyAlignment="1">
      <alignment horizontal="center" wrapText="1"/>
    </xf>
    <xf numFmtId="2" fontId="72" fillId="33" borderId="16" xfId="60" applyNumberFormat="1" applyFont="1" applyFill="1" applyBorder="1" applyAlignment="1">
      <alignment horizontal="center" wrapText="1"/>
    </xf>
    <xf numFmtId="2" fontId="72" fillId="33" borderId="17" xfId="60" applyNumberFormat="1" applyFont="1" applyFill="1" applyBorder="1" applyAlignment="1">
      <alignment horizontal="center" wrapText="1"/>
    </xf>
    <xf numFmtId="173" fontId="72" fillId="33" borderId="15" xfId="60" applyNumberFormat="1" applyFont="1" applyFill="1" applyBorder="1" applyAlignment="1">
      <alignment horizontal="center" wrapText="1"/>
    </xf>
    <xf numFmtId="172" fontId="68" fillId="0" borderId="11" xfId="0" applyNumberFormat="1" applyFont="1" applyFill="1" applyBorder="1" applyAlignment="1">
      <alignment horizontal="center" wrapText="1"/>
    </xf>
    <xf numFmtId="10" fontId="72" fillId="0" borderId="0" xfId="0" applyNumberFormat="1" applyFont="1" applyAlignment="1">
      <alignment horizontal="left" indent="1"/>
    </xf>
    <xf numFmtId="10" fontId="72" fillId="0" borderId="0" xfId="0" applyNumberFormat="1" applyFont="1" applyAlignment="1">
      <alignment/>
    </xf>
    <xf numFmtId="10" fontId="68" fillId="0" borderId="0" xfId="0" applyNumberFormat="1" applyFont="1" applyAlignment="1">
      <alignment horizontal="left" indent="1"/>
    </xf>
    <xf numFmtId="10" fontId="68" fillId="0" borderId="0" xfId="0" applyNumberFormat="1" applyFont="1" applyFill="1" applyAlignment="1">
      <alignment horizontal="left" indent="1"/>
    </xf>
    <xf numFmtId="172" fontId="68" fillId="33" borderId="11" xfId="0" applyNumberFormat="1" applyFont="1" applyFill="1" applyBorder="1" applyAlignment="1">
      <alignment horizontal="center" wrapText="1"/>
    </xf>
    <xf numFmtId="172" fontId="68" fillId="33" borderId="10" xfId="0" applyNumberFormat="1" applyFont="1" applyFill="1" applyBorder="1" applyAlignment="1">
      <alignment horizontal="center" wrapText="1"/>
    </xf>
    <xf numFmtId="172" fontId="68" fillId="33" borderId="11" xfId="48" applyNumberFormat="1" applyFont="1" applyFill="1" applyBorder="1" applyAlignment="1">
      <alignment horizontal="center" wrapText="1"/>
    </xf>
    <xf numFmtId="172" fontId="72" fillId="0" borderId="14" xfId="0" applyNumberFormat="1" applyFont="1" applyFill="1" applyBorder="1" applyAlignment="1">
      <alignment horizontal="left" wrapText="1"/>
    </xf>
    <xf numFmtId="172" fontId="72" fillId="0" borderId="0" xfId="0" applyNumberFormat="1" applyFont="1" applyAlignment="1">
      <alignment/>
    </xf>
    <xf numFmtId="172" fontId="68" fillId="33" borderId="11" xfId="48" applyNumberFormat="1" applyFont="1" applyFill="1" applyBorder="1" applyAlignment="1">
      <alignment horizontal="right" wrapText="1"/>
    </xf>
    <xf numFmtId="172" fontId="68" fillId="0" borderId="14" xfId="48" applyNumberFormat="1" applyFont="1" applyFill="1" applyBorder="1" applyAlignment="1">
      <alignment horizontal="center" wrapText="1"/>
    </xf>
    <xf numFmtId="172" fontId="0" fillId="0" borderId="0" xfId="48" applyNumberFormat="1" applyFont="1" applyAlignment="1">
      <alignment/>
    </xf>
    <xf numFmtId="0" fontId="74" fillId="38" borderId="19" xfId="0" applyFont="1" applyFill="1" applyBorder="1" applyAlignment="1">
      <alignment horizontal="center" wrapText="1"/>
    </xf>
    <xf numFmtId="172" fontId="74" fillId="38" borderId="19" xfId="48" applyNumberFormat="1" applyFont="1" applyFill="1" applyBorder="1" applyAlignment="1">
      <alignment horizontal="center" wrapText="1"/>
    </xf>
    <xf numFmtId="172" fontId="74" fillId="38" borderId="20" xfId="48" applyNumberFormat="1" applyFont="1" applyFill="1" applyBorder="1" applyAlignment="1">
      <alignment horizontal="center" wrapText="1"/>
    </xf>
    <xf numFmtId="172" fontId="68" fillId="0" borderId="10" xfId="48" applyNumberFormat="1" applyFont="1" applyFill="1" applyBorder="1" applyAlignment="1">
      <alignment horizontal="right" wrapText="1"/>
    </xf>
    <xf numFmtId="172" fontId="68" fillId="34" borderId="10" xfId="48" applyNumberFormat="1" applyFont="1" applyFill="1" applyBorder="1" applyAlignment="1">
      <alignment horizontal="right" wrapText="1"/>
    </xf>
    <xf numFmtId="0" fontId="75" fillId="0" borderId="0" xfId="0" applyFont="1" applyAlignment="1">
      <alignment/>
    </xf>
    <xf numFmtId="0" fontId="76" fillId="38" borderId="19" xfId="0" applyFont="1" applyFill="1" applyBorder="1" applyAlignment="1">
      <alignment horizontal="center" wrapText="1"/>
    </xf>
    <xf numFmtId="0" fontId="77" fillId="38" borderId="19" xfId="0" applyFont="1" applyFill="1" applyBorder="1" applyAlignment="1">
      <alignment horizontal="center" wrapText="1"/>
    </xf>
    <xf numFmtId="172" fontId="77" fillId="38" borderId="19" xfId="48" applyNumberFormat="1" applyFont="1" applyFill="1" applyBorder="1" applyAlignment="1">
      <alignment horizontal="center" wrapText="1"/>
    </xf>
    <xf numFmtId="174" fontId="68" fillId="0" borderId="0" xfId="48" applyNumberFormat="1" applyFont="1" applyAlignment="1">
      <alignment horizontal="right"/>
    </xf>
    <xf numFmtId="0" fontId="68" fillId="0" borderId="0" xfId="0" applyNumberFormat="1" applyFont="1" applyAlignment="1">
      <alignment horizontal="right"/>
    </xf>
    <xf numFmtId="0" fontId="68" fillId="0" borderId="0" xfId="0" applyFont="1" applyAlignment="1">
      <alignment horizontal="right"/>
    </xf>
    <xf numFmtId="174" fontId="72" fillId="0" borderId="0" xfId="48" applyNumberFormat="1" applyFont="1" applyFill="1" applyAlignment="1">
      <alignment/>
    </xf>
    <xf numFmtId="172" fontId="75" fillId="0" borderId="0" xfId="48" applyNumberFormat="1" applyFont="1" applyAlignment="1">
      <alignment/>
    </xf>
    <xf numFmtId="0" fontId="74" fillId="38" borderId="21" xfId="0" applyFont="1" applyFill="1" applyBorder="1" applyAlignment="1">
      <alignment horizontal="center" vertical="center" wrapText="1"/>
    </xf>
    <xf numFmtId="0" fontId="74" fillId="38" borderId="21" xfId="0" applyFont="1" applyFill="1" applyBorder="1" applyAlignment="1">
      <alignment wrapText="1"/>
    </xf>
    <xf numFmtId="0" fontId="74" fillId="38" borderId="20" xfId="0" applyFont="1" applyFill="1" applyBorder="1" applyAlignment="1">
      <alignment horizontal="center" wrapText="1"/>
    </xf>
    <xf numFmtId="0" fontId="74" fillId="38" borderId="22" xfId="0" applyFont="1" applyFill="1" applyBorder="1" applyAlignment="1">
      <alignment horizontal="center" wrapText="1"/>
    </xf>
    <xf numFmtId="0" fontId="74" fillId="38" borderId="11" xfId="0" applyFont="1" applyFill="1" applyBorder="1" applyAlignment="1">
      <alignment horizontal="center" wrapText="1"/>
    </xf>
    <xf numFmtId="0" fontId="78" fillId="0" borderId="0" xfId="0" applyFont="1" applyAlignment="1">
      <alignment/>
    </xf>
    <xf numFmtId="172" fontId="78" fillId="0" borderId="0" xfId="48" applyNumberFormat="1" applyFont="1" applyAlignment="1">
      <alignment/>
    </xf>
    <xf numFmtId="172" fontId="67" fillId="0" borderId="0" xfId="48" applyNumberFormat="1" applyFont="1" applyAlignment="1">
      <alignment/>
    </xf>
    <xf numFmtId="9" fontId="7" fillId="6" borderId="12" xfId="0" applyNumberFormat="1" applyFont="1" applyFill="1" applyBorder="1" applyAlignment="1">
      <alignment horizontal="center" vertical="center" wrapText="1"/>
    </xf>
    <xf numFmtId="0" fontId="79" fillId="26" borderId="0" xfId="58" applyFont="1" applyFill="1">
      <alignment/>
      <protection/>
    </xf>
    <xf numFmtId="0" fontId="50" fillId="26" borderId="0" xfId="0" applyFont="1" applyFill="1" applyBorder="1" applyAlignment="1">
      <alignment/>
    </xf>
    <xf numFmtId="0" fontId="50" fillId="26" borderId="23" xfId="0" applyFont="1" applyFill="1" applyBorder="1" applyAlignment="1">
      <alignment/>
    </xf>
    <xf numFmtId="0" fontId="0" fillId="17" borderId="0" xfId="0" applyFill="1" applyAlignment="1">
      <alignment/>
    </xf>
    <xf numFmtId="0" fontId="0" fillId="26" borderId="0" xfId="0" applyFill="1" applyBorder="1" applyAlignment="1">
      <alignment/>
    </xf>
    <xf numFmtId="0" fontId="80" fillId="26" borderId="0" xfId="0" applyFont="1" applyFill="1" applyBorder="1" applyAlignment="1">
      <alignment/>
    </xf>
    <xf numFmtId="0" fontId="80" fillId="26" borderId="23" xfId="0" applyFont="1" applyFill="1" applyBorder="1" applyAlignment="1">
      <alignment/>
    </xf>
    <xf numFmtId="0" fontId="81" fillId="26" borderId="24" xfId="0" applyFont="1" applyFill="1" applyBorder="1" applyAlignment="1">
      <alignment/>
    </xf>
    <xf numFmtId="0" fontId="81" fillId="26" borderId="0" xfId="0" applyFont="1" applyFill="1" applyBorder="1" applyAlignment="1">
      <alignment/>
    </xf>
    <xf numFmtId="0" fontId="81" fillId="26" borderId="23" xfId="0" applyFont="1" applyFill="1" applyBorder="1" applyAlignment="1">
      <alignment/>
    </xf>
    <xf numFmtId="0" fontId="82" fillId="26" borderId="25" xfId="0" applyFont="1" applyFill="1" applyBorder="1" applyAlignment="1" applyProtection="1">
      <alignment horizontal="center" vertical="center"/>
      <protection/>
    </xf>
    <xf numFmtId="0" fontId="79" fillId="26" borderId="13" xfId="57" applyFont="1" applyFill="1" applyBorder="1" applyAlignment="1" applyProtection="1">
      <alignment vertical="center"/>
      <protection/>
    </xf>
    <xf numFmtId="10" fontId="83" fillId="39" borderId="12" xfId="0" applyNumberFormat="1" applyFont="1" applyFill="1" applyBorder="1" applyAlignment="1">
      <alignment horizontal="center"/>
    </xf>
    <xf numFmtId="10" fontId="83" fillId="0" borderId="12" xfId="0" applyNumberFormat="1" applyFont="1" applyFill="1" applyBorder="1" applyAlignment="1">
      <alignment horizontal="center"/>
    </xf>
    <xf numFmtId="0" fontId="79" fillId="26" borderId="12" xfId="57" applyFont="1" applyFill="1" applyBorder="1" applyAlignment="1" applyProtection="1">
      <alignment vertical="center"/>
      <protection/>
    </xf>
    <xf numFmtId="10" fontId="84" fillId="0" borderId="12" xfId="0" applyNumberFormat="1" applyFont="1" applyFill="1" applyBorder="1" applyAlignment="1">
      <alignment horizontal="center"/>
    </xf>
    <xf numFmtId="174" fontId="68" fillId="0" borderId="0" xfId="48" applyNumberFormat="1" applyFont="1" applyFill="1" applyAlignment="1">
      <alignment/>
    </xf>
    <xf numFmtId="0" fontId="79" fillId="26" borderId="26" xfId="0" applyFont="1" applyFill="1" applyBorder="1" applyAlignment="1">
      <alignment horizontal="center" vertical="center" wrapText="1"/>
    </xf>
    <xf numFmtId="0" fontId="79" fillId="26" borderId="27" xfId="0" applyFont="1" applyFill="1" applyBorder="1" applyAlignment="1">
      <alignment horizontal="center" vertical="center" wrapText="1"/>
    </xf>
    <xf numFmtId="0" fontId="79" fillId="26" borderId="28" xfId="0" applyFont="1" applyFill="1" applyBorder="1" applyAlignment="1">
      <alignment horizontal="center" vertical="center" wrapText="1"/>
    </xf>
    <xf numFmtId="0" fontId="79" fillId="26" borderId="29" xfId="0" applyFont="1" applyFill="1" applyBorder="1" applyAlignment="1">
      <alignment horizontal="center" vertical="center" wrapText="1"/>
    </xf>
    <xf numFmtId="0" fontId="85" fillId="26" borderId="26" xfId="0" applyFont="1" applyFill="1" applyBorder="1" applyAlignment="1" applyProtection="1">
      <alignment horizontal="center" vertical="center"/>
      <protection/>
    </xf>
    <xf numFmtId="0" fontId="85" fillId="26" borderId="30" xfId="0" applyFont="1" applyFill="1" applyBorder="1" applyAlignment="1" applyProtection="1">
      <alignment horizontal="center" vertical="center"/>
      <protection/>
    </xf>
    <xf numFmtId="0" fontId="85" fillId="26" borderId="31" xfId="0" applyFont="1" applyFill="1" applyBorder="1" applyAlignment="1" applyProtection="1">
      <alignment horizontal="center" vertical="center"/>
      <protection/>
    </xf>
    <xf numFmtId="0" fontId="81" fillId="26" borderId="28" xfId="0" applyFont="1" applyFill="1" applyBorder="1" applyAlignment="1">
      <alignment horizontal="center"/>
    </xf>
    <xf numFmtId="0" fontId="81" fillId="26" borderId="32" xfId="0" applyFont="1" applyFill="1" applyBorder="1" applyAlignment="1">
      <alignment horizontal="center"/>
    </xf>
    <xf numFmtId="0" fontId="81" fillId="26" borderId="33" xfId="0" applyFont="1" applyFill="1" applyBorder="1" applyAlignment="1">
      <alignment horizontal="center"/>
    </xf>
    <xf numFmtId="0" fontId="81" fillId="26" borderId="24" xfId="0" applyFont="1" applyFill="1" applyBorder="1" applyAlignment="1">
      <alignment horizontal="center"/>
    </xf>
    <xf numFmtId="0" fontId="81" fillId="26" borderId="0" xfId="0" applyFont="1" applyFill="1" applyBorder="1" applyAlignment="1">
      <alignment horizontal="center"/>
    </xf>
    <xf numFmtId="0" fontId="81" fillId="26" borderId="23" xfId="0" applyFont="1" applyFill="1" applyBorder="1" applyAlignment="1">
      <alignment horizontal="center"/>
    </xf>
    <xf numFmtId="0" fontId="82" fillId="26" borderId="34" xfId="0" applyFont="1" applyFill="1" applyBorder="1" applyAlignment="1" applyProtection="1">
      <alignment horizontal="center" vertical="center"/>
      <protection/>
    </xf>
    <xf numFmtId="0" fontId="82" fillId="26" borderId="35" xfId="0" applyFont="1" applyFill="1" applyBorder="1" applyAlignment="1" applyProtection="1">
      <alignment horizontal="center" vertical="center"/>
      <protection/>
    </xf>
    <xf numFmtId="0" fontId="82" fillId="26" borderId="36" xfId="0" applyFont="1" applyFill="1" applyBorder="1" applyAlignment="1" applyProtection="1">
      <alignment horizontal="center" vertical="center"/>
      <protection/>
    </xf>
    <xf numFmtId="0" fontId="86" fillId="26" borderId="28" xfId="0" applyFont="1" applyFill="1" applyBorder="1" applyAlignment="1">
      <alignment horizontal="center" vertical="center" wrapText="1"/>
    </xf>
    <xf numFmtId="0" fontId="86" fillId="26" borderId="24" xfId="0" applyFont="1" applyFill="1" applyBorder="1" applyAlignment="1">
      <alignment horizontal="center" vertical="center" wrapText="1"/>
    </xf>
    <xf numFmtId="0" fontId="86" fillId="26" borderId="29" xfId="0" applyFont="1" applyFill="1" applyBorder="1" applyAlignment="1">
      <alignment horizontal="center" vertical="center" wrapText="1"/>
    </xf>
    <xf numFmtId="0" fontId="87" fillId="38" borderId="0" xfId="0" applyFont="1" applyFill="1" applyBorder="1" applyAlignment="1">
      <alignment horizontal="center" vertical="center" wrapText="1"/>
    </xf>
    <xf numFmtId="0" fontId="74" fillId="38" borderId="37" xfId="0" applyFont="1" applyFill="1" applyBorder="1" applyAlignment="1">
      <alignment horizontal="center" vertical="center" wrapText="1"/>
    </xf>
    <xf numFmtId="0" fontId="74" fillId="38" borderId="38" xfId="0" applyFont="1" applyFill="1" applyBorder="1" applyAlignment="1">
      <alignment horizontal="center" vertical="center" wrapText="1"/>
    </xf>
    <xf numFmtId="0" fontId="74" fillId="38" borderId="39" xfId="0" applyFont="1" applyFill="1" applyBorder="1" applyAlignment="1">
      <alignment horizontal="center" vertical="center" wrapText="1"/>
    </xf>
    <xf numFmtId="0" fontId="74" fillId="38" borderId="40" xfId="0" applyFont="1" applyFill="1" applyBorder="1" applyAlignment="1">
      <alignment horizontal="center" vertical="center" wrapText="1"/>
    </xf>
    <xf numFmtId="0" fontId="74" fillId="38" borderId="41" xfId="0" applyFont="1" applyFill="1" applyBorder="1" applyAlignment="1">
      <alignment horizontal="center" vertical="center" wrapText="1"/>
    </xf>
    <xf numFmtId="0" fontId="74" fillId="38" borderId="42" xfId="0" applyFont="1" applyFill="1" applyBorder="1" applyAlignment="1">
      <alignment horizontal="center" vertical="center" wrapText="1"/>
    </xf>
    <xf numFmtId="0" fontId="74" fillId="38" borderId="43" xfId="0" applyFont="1" applyFill="1" applyBorder="1" applyAlignment="1">
      <alignment horizontal="center" vertical="center" wrapText="1"/>
    </xf>
    <xf numFmtId="0" fontId="74" fillId="38" borderId="15" xfId="0" applyFont="1" applyFill="1" applyBorder="1" applyAlignment="1">
      <alignment horizontal="center" vertical="center" wrapText="1"/>
    </xf>
    <xf numFmtId="0" fontId="74" fillId="38" borderId="44" xfId="0" applyFont="1" applyFill="1" applyBorder="1" applyAlignment="1">
      <alignment horizontal="center" vertical="center" wrapText="1"/>
    </xf>
    <xf numFmtId="0" fontId="74" fillId="38" borderId="45" xfId="0" applyFont="1" applyFill="1" applyBorder="1" applyAlignment="1">
      <alignment horizontal="center" vertical="center" wrapText="1"/>
    </xf>
    <xf numFmtId="0" fontId="74" fillId="38" borderId="46" xfId="0" applyFont="1" applyFill="1" applyBorder="1" applyAlignment="1">
      <alignment horizontal="center" vertical="center" wrapText="1"/>
    </xf>
    <xf numFmtId="0" fontId="74" fillId="38" borderId="19" xfId="0" applyFont="1" applyFill="1" applyBorder="1" applyAlignment="1">
      <alignment horizontal="center" vertical="center" wrapText="1"/>
    </xf>
    <xf numFmtId="0" fontId="74" fillId="38" borderId="47" xfId="0" applyFont="1" applyFill="1" applyBorder="1" applyAlignment="1">
      <alignment horizontal="center" vertical="center" wrapText="1"/>
    </xf>
    <xf numFmtId="0" fontId="74" fillId="38" borderId="48" xfId="0" applyFont="1" applyFill="1" applyBorder="1" applyAlignment="1">
      <alignment horizontal="center" vertical="center" wrapText="1"/>
    </xf>
    <xf numFmtId="0" fontId="88" fillId="38" borderId="17" xfId="0" applyFont="1" applyFill="1" applyBorder="1" applyAlignment="1">
      <alignment horizontal="center" vertical="center" wrapText="1"/>
    </xf>
    <xf numFmtId="0" fontId="88" fillId="38" borderId="0" xfId="0" applyFont="1" applyFill="1" applyBorder="1" applyAlignment="1">
      <alignment horizontal="center" vertical="center" wrapText="1"/>
    </xf>
    <xf numFmtId="0" fontId="88" fillId="38" borderId="15" xfId="0" applyFont="1" applyFill="1" applyBorder="1" applyAlignment="1">
      <alignment horizontal="center" vertical="center" wrapText="1"/>
    </xf>
    <xf numFmtId="0" fontId="88" fillId="38" borderId="47" xfId="0" applyFont="1" applyFill="1" applyBorder="1" applyAlignment="1">
      <alignment horizontal="center" vertical="center" wrapText="1"/>
    </xf>
    <xf numFmtId="0" fontId="88" fillId="38" borderId="49" xfId="0" applyFont="1" applyFill="1" applyBorder="1" applyAlignment="1">
      <alignment horizontal="center" vertical="center" wrapText="1"/>
    </xf>
    <xf numFmtId="0" fontId="88" fillId="38" borderId="48" xfId="0" applyFont="1" applyFill="1" applyBorder="1" applyAlignment="1">
      <alignment horizontal="center" vertical="center" wrapText="1"/>
    </xf>
    <xf numFmtId="0" fontId="88" fillId="38" borderId="50" xfId="0" applyFont="1" applyFill="1" applyBorder="1" applyAlignment="1">
      <alignment horizontal="center" vertical="center" wrapText="1"/>
    </xf>
    <xf numFmtId="0" fontId="88" fillId="38" borderId="43" xfId="0" applyFont="1" applyFill="1" applyBorder="1" applyAlignment="1">
      <alignment horizontal="center" vertical="center" wrapText="1"/>
    </xf>
    <xf numFmtId="0" fontId="88" fillId="38" borderId="44" xfId="0" applyFont="1" applyFill="1" applyBorder="1" applyAlignment="1">
      <alignment horizontal="center" vertical="center" wrapText="1"/>
    </xf>
    <xf numFmtId="0" fontId="74" fillId="38" borderId="51" xfId="0" applyFont="1" applyFill="1" applyBorder="1" applyAlignment="1">
      <alignment horizontal="center" vertical="center" wrapText="1"/>
    </xf>
    <xf numFmtId="0" fontId="74" fillId="38" borderId="52" xfId="0" applyFont="1" applyFill="1" applyBorder="1" applyAlignment="1">
      <alignment horizontal="center" vertical="center" wrapText="1"/>
    </xf>
    <xf numFmtId="0" fontId="74" fillId="38" borderId="53" xfId="0" applyFont="1" applyFill="1" applyBorder="1" applyAlignment="1">
      <alignment horizontal="center" vertical="center" wrapText="1"/>
    </xf>
    <xf numFmtId="0" fontId="74" fillId="38" borderId="54" xfId="0" applyFont="1" applyFill="1" applyBorder="1" applyAlignment="1">
      <alignment horizontal="center" vertical="center" wrapText="1"/>
    </xf>
    <xf numFmtId="0" fontId="74" fillId="38" borderId="55" xfId="0" applyFont="1" applyFill="1" applyBorder="1" applyAlignment="1">
      <alignment horizontal="center" vertical="center" wrapText="1"/>
    </xf>
    <xf numFmtId="0" fontId="74" fillId="38" borderId="56" xfId="0" applyFont="1" applyFill="1" applyBorder="1" applyAlignment="1">
      <alignment horizontal="center" vertical="center" wrapText="1"/>
    </xf>
    <xf numFmtId="0" fontId="87" fillId="38" borderId="48" xfId="0" applyFont="1" applyFill="1" applyBorder="1" applyAlignment="1">
      <alignment horizontal="center" vertical="center" wrapText="1"/>
    </xf>
    <xf numFmtId="172" fontId="68" fillId="33" borderId="11" xfId="48" applyNumberFormat="1" applyFont="1" applyFill="1" applyBorder="1" applyAlignment="1">
      <alignment horizontal="center" wrapText="1"/>
    </xf>
    <xf numFmtId="172" fontId="68" fillId="33" borderId="14" xfId="48" applyNumberFormat="1" applyFont="1" applyFill="1" applyBorder="1" applyAlignment="1">
      <alignment horizontal="center" wrapText="1"/>
    </xf>
    <xf numFmtId="172" fontId="72" fillId="0" borderId="57" xfId="0" applyNumberFormat="1" applyFont="1" applyBorder="1" applyAlignment="1">
      <alignment horizontal="center"/>
    </xf>
    <xf numFmtId="0" fontId="72" fillId="0" borderId="0" xfId="0" applyFont="1" applyAlignment="1">
      <alignment horizontal="center"/>
    </xf>
    <xf numFmtId="0" fontId="74" fillId="38" borderId="17" xfId="0" applyFont="1" applyFill="1" applyBorder="1" applyAlignment="1">
      <alignment horizontal="center" vertical="center" wrapText="1"/>
    </xf>
    <xf numFmtId="0" fontId="74" fillId="38" borderId="0" xfId="0" applyFont="1" applyFill="1" applyBorder="1" applyAlignment="1">
      <alignment horizontal="center" vertical="center" wrapText="1"/>
    </xf>
    <xf numFmtId="0" fontId="87" fillId="38" borderId="43" xfId="0" applyFont="1" applyFill="1" applyBorder="1" applyAlignment="1">
      <alignment horizontal="center" vertical="center" wrapText="1"/>
    </xf>
    <xf numFmtId="0" fontId="87" fillId="38" borderId="15" xfId="0" applyFont="1" applyFill="1" applyBorder="1" applyAlignment="1">
      <alignment horizontal="center" vertical="center" wrapText="1"/>
    </xf>
    <xf numFmtId="172" fontId="68" fillId="0" borderId="58" xfId="0" applyNumberFormat="1" applyFont="1" applyBorder="1" applyAlignment="1">
      <alignment horizontal="center"/>
    </xf>
    <xf numFmtId="0" fontId="68" fillId="0" borderId="58" xfId="0" applyFont="1" applyBorder="1" applyAlignment="1">
      <alignment horizontal="center"/>
    </xf>
    <xf numFmtId="172" fontId="88" fillId="38" borderId="47" xfId="48" applyNumberFormat="1" applyFont="1" applyFill="1" applyBorder="1" applyAlignment="1">
      <alignment horizontal="center" vertical="center" wrapText="1"/>
    </xf>
    <xf numFmtId="172" fontId="88" fillId="38" borderId="17" xfId="48" applyNumberFormat="1" applyFont="1" applyFill="1" applyBorder="1" applyAlignment="1">
      <alignment horizontal="center" vertical="center" wrapText="1"/>
    </xf>
    <xf numFmtId="172" fontId="88" fillId="38" borderId="48" xfId="48" applyNumberFormat="1" applyFont="1" applyFill="1" applyBorder="1" applyAlignment="1">
      <alignment horizontal="center" vertical="center" wrapText="1"/>
    </xf>
    <xf numFmtId="172" fontId="88" fillId="38" borderId="0" xfId="48" applyNumberFormat="1" applyFont="1" applyFill="1" applyBorder="1" applyAlignment="1">
      <alignment horizontal="center" vertical="center" wrapText="1"/>
    </xf>
    <xf numFmtId="172" fontId="88" fillId="38" borderId="43" xfId="48" applyNumberFormat="1" applyFont="1" applyFill="1" applyBorder="1" applyAlignment="1">
      <alignment horizontal="center" vertical="center" wrapText="1"/>
    </xf>
    <xf numFmtId="172" fontId="88" fillId="38" borderId="15" xfId="48" applyNumberFormat="1" applyFont="1" applyFill="1" applyBorder="1" applyAlignment="1">
      <alignment horizontal="center" vertical="center" wrapText="1"/>
    </xf>
    <xf numFmtId="172" fontId="88" fillId="38" borderId="49" xfId="48" applyNumberFormat="1" applyFont="1" applyFill="1" applyBorder="1" applyAlignment="1">
      <alignment horizontal="center" vertical="center" wrapText="1"/>
    </xf>
    <xf numFmtId="172" fontId="88" fillId="38" borderId="50" xfId="48" applyNumberFormat="1" applyFont="1" applyFill="1" applyBorder="1" applyAlignment="1">
      <alignment horizontal="center" vertical="center" wrapText="1"/>
    </xf>
    <xf numFmtId="172" fontId="88" fillId="38" borderId="44" xfId="48" applyNumberFormat="1" applyFont="1" applyFill="1" applyBorder="1" applyAlignment="1">
      <alignment horizontal="center" vertical="center" wrapText="1"/>
    </xf>
    <xf numFmtId="172" fontId="74" fillId="38" borderId="15" xfId="48" applyNumberFormat="1" applyFont="1" applyFill="1" applyBorder="1" applyAlignment="1">
      <alignment horizontal="center" vertical="center" wrapText="1"/>
    </xf>
    <xf numFmtId="172" fontId="74" fillId="38" borderId="43" xfId="48" applyNumberFormat="1" applyFont="1" applyFill="1" applyBorder="1" applyAlignment="1">
      <alignment horizontal="center" vertical="center" wrapText="1"/>
    </xf>
    <xf numFmtId="172" fontId="74" fillId="38" borderId="44" xfId="48" applyNumberFormat="1" applyFont="1" applyFill="1" applyBorder="1" applyAlignment="1">
      <alignment horizontal="center" vertical="center" wrapText="1"/>
    </xf>
    <xf numFmtId="172" fontId="88" fillId="38" borderId="59" xfId="48" applyNumberFormat="1" applyFont="1" applyFill="1" applyBorder="1" applyAlignment="1">
      <alignment horizontal="center" vertical="center" wrapText="1"/>
    </xf>
    <xf numFmtId="172" fontId="88" fillId="38" borderId="60" xfId="48" applyNumberFormat="1" applyFont="1" applyFill="1" applyBorder="1" applyAlignment="1">
      <alignment horizontal="center" vertical="center" wrapText="1"/>
    </xf>
    <xf numFmtId="172" fontId="88" fillId="38" borderId="61" xfId="48" applyNumberFormat="1" applyFont="1" applyFill="1" applyBorder="1" applyAlignment="1">
      <alignment horizontal="center" vertical="center" wrapText="1"/>
    </xf>
    <xf numFmtId="172" fontId="74" fillId="38" borderId="0" xfId="48" applyNumberFormat="1" applyFont="1" applyFill="1" applyBorder="1" applyAlignment="1">
      <alignment horizontal="center" vertical="center" wrapText="1"/>
    </xf>
    <xf numFmtId="172" fontId="74" fillId="38" borderId="61" xfId="48" applyNumberFormat="1" applyFont="1" applyFill="1" applyBorder="1" applyAlignment="1">
      <alignment horizontal="center" vertical="center" wrapText="1"/>
    </xf>
    <xf numFmtId="172" fontId="74" fillId="38" borderId="51" xfId="48" applyNumberFormat="1" applyFont="1" applyFill="1" applyBorder="1" applyAlignment="1">
      <alignment horizontal="center" vertical="center" wrapText="1"/>
    </xf>
    <xf numFmtId="172" fontId="74" fillId="38" borderId="52" xfId="48" applyNumberFormat="1" applyFont="1" applyFill="1" applyBorder="1" applyAlignment="1">
      <alignment horizontal="center" vertical="center" wrapText="1"/>
    </xf>
    <xf numFmtId="172" fontId="74" fillId="38" borderId="53" xfId="48" applyNumberFormat="1" applyFont="1" applyFill="1" applyBorder="1" applyAlignment="1">
      <alignment horizontal="center" vertical="center" wrapText="1"/>
    </xf>
    <xf numFmtId="172" fontId="74" fillId="38" borderId="41" xfId="48" applyNumberFormat="1" applyFont="1" applyFill="1" applyBorder="1" applyAlignment="1">
      <alignment horizontal="center" vertical="center" wrapText="1"/>
    </xf>
    <xf numFmtId="172" fontId="74" fillId="38" borderId="42" xfId="48" applyNumberFormat="1" applyFont="1" applyFill="1" applyBorder="1" applyAlignment="1">
      <alignment horizontal="center" vertical="center" wrapText="1"/>
    </xf>
    <xf numFmtId="172" fontId="74" fillId="38" borderId="55" xfId="48" applyNumberFormat="1" applyFont="1" applyFill="1" applyBorder="1" applyAlignment="1">
      <alignment horizontal="center" vertical="center" wrapText="1"/>
    </xf>
    <xf numFmtId="172" fontId="74" fillId="38" borderId="56" xfId="48" applyNumberFormat="1" applyFont="1" applyFill="1" applyBorder="1" applyAlignment="1">
      <alignment horizontal="center" vertical="center" wrapText="1"/>
    </xf>
    <xf numFmtId="172" fontId="87" fillId="38" borderId="51" xfId="48" applyNumberFormat="1" applyFont="1" applyFill="1" applyBorder="1" applyAlignment="1">
      <alignment horizontal="center" vertical="center" wrapText="1"/>
    </xf>
    <xf numFmtId="172" fontId="87" fillId="38" borderId="52" xfId="48" applyNumberFormat="1" applyFont="1" applyFill="1" applyBorder="1" applyAlignment="1">
      <alignment horizontal="center" vertical="center" wrapText="1"/>
    </xf>
    <xf numFmtId="172" fontId="87" fillId="38" borderId="53" xfId="48" applyNumberFormat="1" applyFont="1" applyFill="1" applyBorder="1" applyAlignment="1">
      <alignment horizontal="center" vertical="center" wrapText="1"/>
    </xf>
    <xf numFmtId="172" fontId="88" fillId="38" borderId="62" xfId="48" applyNumberFormat="1" applyFont="1" applyFill="1" applyBorder="1" applyAlignment="1">
      <alignment horizontal="center" vertical="center" wrapText="1"/>
    </xf>
    <xf numFmtId="172" fontId="88" fillId="38" borderId="63" xfId="48" applyNumberFormat="1" applyFont="1" applyFill="1" applyBorder="1" applyAlignment="1">
      <alignment horizontal="center" vertical="center" wrapText="1"/>
    </xf>
    <xf numFmtId="172" fontId="88" fillId="38" borderId="37" xfId="48" applyNumberFormat="1" applyFont="1" applyFill="1" applyBorder="1" applyAlignment="1">
      <alignment horizontal="center" vertical="center" wrapText="1"/>
    </xf>
    <xf numFmtId="172" fontId="88" fillId="38" borderId="38" xfId="48" applyNumberFormat="1" applyFont="1" applyFill="1" applyBorder="1" applyAlignment="1">
      <alignment horizontal="center" vertical="center" wrapText="1"/>
    </xf>
    <xf numFmtId="172" fontId="88" fillId="38" borderId="39" xfId="48" applyNumberFormat="1" applyFont="1" applyFill="1" applyBorder="1" applyAlignment="1">
      <alignment horizontal="center" vertical="center" wrapText="1"/>
    </xf>
    <xf numFmtId="172" fontId="74" fillId="38" borderId="64" xfId="48" applyNumberFormat="1" applyFont="1" applyFill="1" applyBorder="1" applyAlignment="1">
      <alignment horizontal="center" vertical="center" wrapText="1"/>
    </xf>
    <xf numFmtId="172" fontId="74" fillId="38" borderId="65" xfId="48" applyNumberFormat="1" applyFont="1" applyFill="1" applyBorder="1" applyAlignment="1">
      <alignment horizontal="center" vertical="center" wrapText="1"/>
    </xf>
    <xf numFmtId="172" fontId="74" fillId="38" borderId="66" xfId="48" applyNumberFormat="1" applyFont="1" applyFill="1" applyBorder="1" applyAlignment="1">
      <alignment horizontal="center" vertical="center" wrapText="1"/>
    </xf>
    <xf numFmtId="172" fontId="74" fillId="38" borderId="67" xfId="48" applyNumberFormat="1" applyFont="1" applyFill="1" applyBorder="1" applyAlignment="1">
      <alignment horizontal="center" vertical="center" wrapText="1"/>
    </xf>
    <xf numFmtId="172" fontId="87" fillId="38" borderId="59" xfId="48" applyNumberFormat="1" applyFont="1" applyFill="1" applyBorder="1" applyAlignment="1">
      <alignment horizontal="center" vertical="center" wrapText="1"/>
    </xf>
    <xf numFmtId="172" fontId="87" fillId="38" borderId="0" xfId="48" applyNumberFormat="1" applyFont="1" applyFill="1" applyBorder="1" applyAlignment="1">
      <alignment horizontal="center" vertical="center" wrapText="1"/>
    </xf>
    <xf numFmtId="172" fontId="6" fillId="0" borderId="58" xfId="48" applyNumberFormat="1" applyFont="1" applyBorder="1" applyAlignment="1">
      <alignment horizontal="center"/>
    </xf>
    <xf numFmtId="172" fontId="74" fillId="38" borderId="38" xfId="48" applyNumberFormat="1" applyFont="1" applyFill="1" applyBorder="1" applyAlignment="1">
      <alignment horizontal="center" vertical="center" wrapText="1"/>
    </xf>
    <xf numFmtId="0" fontId="77" fillId="38" borderId="45" xfId="0" applyFont="1" applyFill="1" applyBorder="1" applyAlignment="1">
      <alignment horizontal="center" vertical="center" wrapText="1"/>
    </xf>
    <xf numFmtId="0" fontId="77" fillId="38" borderId="46" xfId="0" applyFont="1" applyFill="1" applyBorder="1" applyAlignment="1">
      <alignment horizontal="center" vertical="center" wrapText="1"/>
    </xf>
    <xf numFmtId="0" fontId="77" fillId="38" borderId="19" xfId="0" applyFont="1" applyFill="1" applyBorder="1" applyAlignment="1">
      <alignment horizontal="center" vertical="center" wrapText="1"/>
    </xf>
    <xf numFmtId="0" fontId="77" fillId="38" borderId="40" xfId="0" applyFont="1" applyFill="1" applyBorder="1" applyAlignment="1">
      <alignment horizontal="center" vertical="center" wrapText="1"/>
    </xf>
    <xf numFmtId="0" fontId="77" fillId="38" borderId="48" xfId="0" applyFont="1" applyFill="1" applyBorder="1" applyAlignment="1">
      <alignment horizontal="center" vertical="center" wrapText="1"/>
    </xf>
    <xf numFmtId="0" fontId="77" fillId="38" borderId="42" xfId="0" applyFont="1" applyFill="1" applyBorder="1" applyAlignment="1">
      <alignment horizontal="center" vertical="center" wrapText="1"/>
    </xf>
    <xf numFmtId="0" fontId="77" fillId="38" borderId="41" xfId="0" applyFont="1" applyFill="1" applyBorder="1" applyAlignment="1">
      <alignment horizontal="center" vertical="center" wrapText="1"/>
    </xf>
    <xf numFmtId="0" fontId="77" fillId="38" borderId="54" xfId="0" applyFont="1" applyFill="1" applyBorder="1" applyAlignment="1">
      <alignment horizontal="center" vertical="center" wrapText="1"/>
    </xf>
    <xf numFmtId="0" fontId="77" fillId="38" borderId="55" xfId="0" applyFont="1" applyFill="1" applyBorder="1" applyAlignment="1">
      <alignment horizontal="center" vertical="center" wrapText="1"/>
    </xf>
    <xf numFmtId="0" fontId="77" fillId="38" borderId="56" xfId="0" applyFont="1" applyFill="1" applyBorder="1" applyAlignment="1">
      <alignment horizontal="center" vertical="center" wrapText="1"/>
    </xf>
    <xf numFmtId="0" fontId="89" fillId="38" borderId="43" xfId="0" applyFont="1" applyFill="1" applyBorder="1" applyAlignment="1">
      <alignment horizontal="center" vertical="center" wrapText="1"/>
    </xf>
    <xf numFmtId="0" fontId="89" fillId="38" borderId="15" xfId="0" applyFont="1" applyFill="1" applyBorder="1" applyAlignment="1">
      <alignment horizontal="center" vertical="center" wrapText="1"/>
    </xf>
    <xf numFmtId="0" fontId="90" fillId="38" borderId="47" xfId="0" applyFont="1" applyFill="1" applyBorder="1" applyAlignment="1">
      <alignment horizontal="center" vertical="center" wrapText="1"/>
    </xf>
    <xf numFmtId="0" fontId="90" fillId="38" borderId="17" xfId="0" applyFont="1" applyFill="1" applyBorder="1" applyAlignment="1">
      <alignment horizontal="center" vertical="center" wrapText="1"/>
    </xf>
    <xf numFmtId="0" fontId="90" fillId="38" borderId="48" xfId="0" applyFont="1" applyFill="1" applyBorder="1" applyAlignment="1">
      <alignment horizontal="center" vertical="center" wrapText="1"/>
    </xf>
    <xf numFmtId="0" fontId="90" fillId="38" borderId="0" xfId="0" applyFont="1" applyFill="1" applyBorder="1" applyAlignment="1">
      <alignment horizontal="center" vertical="center" wrapText="1"/>
    </xf>
    <xf numFmtId="0" fontId="90" fillId="38" borderId="43" xfId="0" applyFont="1" applyFill="1" applyBorder="1" applyAlignment="1">
      <alignment horizontal="center" vertical="center" wrapText="1"/>
    </xf>
    <xf numFmtId="0" fontId="90" fillId="38" borderId="15" xfId="0" applyFont="1" applyFill="1" applyBorder="1" applyAlignment="1">
      <alignment horizontal="center" vertical="center" wrapText="1"/>
    </xf>
    <xf numFmtId="0" fontId="77" fillId="38" borderId="15" xfId="0" applyFont="1" applyFill="1" applyBorder="1" applyAlignment="1">
      <alignment horizontal="center" vertical="center" wrapText="1"/>
    </xf>
    <xf numFmtId="0" fontId="77" fillId="38" borderId="44" xfId="0" applyFont="1" applyFill="1" applyBorder="1" applyAlignment="1">
      <alignment horizontal="center" vertical="center" wrapText="1"/>
    </xf>
    <xf numFmtId="0" fontId="77" fillId="38" borderId="17" xfId="0" applyFont="1" applyFill="1" applyBorder="1" applyAlignment="1">
      <alignment horizontal="center" vertical="center" wrapText="1"/>
    </xf>
    <xf numFmtId="0" fontId="77" fillId="38" borderId="0" xfId="0" applyFont="1" applyFill="1" applyBorder="1" applyAlignment="1">
      <alignment horizontal="center" vertical="center" wrapText="1"/>
    </xf>
    <xf numFmtId="172" fontId="68" fillId="0" borderId="57" xfId="48" applyNumberFormat="1" applyFont="1" applyBorder="1" applyAlignment="1">
      <alignment horizontal="center"/>
    </xf>
    <xf numFmtId="172" fontId="68" fillId="0" borderId="0" xfId="48" applyNumberFormat="1" applyFont="1" applyAlignment="1">
      <alignment horizontal="center"/>
    </xf>
    <xf numFmtId="0" fontId="3" fillId="35" borderId="0" xfId="0" applyFont="1" applyFill="1" applyBorder="1" applyAlignment="1" applyProtection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3" xfId="50"/>
    <cellStyle name="Millares 3 2" xfId="51"/>
    <cellStyle name="Millares 6" xfId="52"/>
    <cellStyle name="Currency" xfId="53"/>
    <cellStyle name="Currency [0]" xfId="54"/>
    <cellStyle name="Neutral" xfId="55"/>
    <cellStyle name="Normal_Actividad general" xfId="56"/>
    <cellStyle name="Normal_Actividad general_Actividad general" xfId="57"/>
    <cellStyle name="Normal_POBL REG 2009" xfId="58"/>
    <cellStyle name="Notas" xfId="59"/>
    <cellStyle name="Percent" xfId="60"/>
    <cellStyle name="Porcentaje 2" xfId="61"/>
    <cellStyle name="Porcentaje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dxfs count="12">
    <dxf>
      <font>
        <color rgb="FFC00000"/>
      </font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rgb="FF00008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C00000"/>
      </font>
      <fill>
        <patternFill>
          <bgColor theme="5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pane xSplit="1" ySplit="11" topLeftCell="B12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D13" sqref="D13"/>
    </sheetView>
  </sheetViews>
  <sheetFormatPr defaultColWidth="11.421875" defaultRowHeight="15"/>
  <cols>
    <col min="1" max="1" width="22.8515625" style="130" customWidth="1"/>
    <col min="2" max="4" width="11.8515625" style="130" bestFit="1" customWidth="1"/>
    <col min="5" max="5" width="12.421875" style="130" bestFit="1" customWidth="1"/>
    <col min="6" max="6" width="12.57421875" style="130" bestFit="1" customWidth="1"/>
    <col min="7" max="7" width="11.8515625" style="130" bestFit="1" customWidth="1"/>
    <col min="8" max="9" width="12.140625" style="130" bestFit="1" customWidth="1"/>
    <col min="10" max="10" width="13.140625" style="130" customWidth="1"/>
    <col min="11" max="11" width="13.28125" style="130" bestFit="1" customWidth="1"/>
    <col min="12" max="12" width="15.8515625" style="130" customWidth="1"/>
    <col min="13" max="13" width="15.00390625" style="130" customWidth="1"/>
    <col min="14" max="14" width="15.7109375" style="130" bestFit="1" customWidth="1"/>
    <col min="15" max="15" width="16.28125" style="130" customWidth="1"/>
    <col min="16" max="16384" width="11.421875" style="130" customWidth="1"/>
  </cols>
  <sheetData>
    <row r="1" spans="1:14" ht="15">
      <c r="A1" s="127" t="s">
        <v>149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ht="15">
      <c r="A2" s="127" t="s">
        <v>150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</row>
    <row r="3" spans="1:14" ht="15">
      <c r="A3" s="127" t="s">
        <v>151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9"/>
    </row>
    <row r="4" spans="1:14" ht="15">
      <c r="A4" s="127" t="s">
        <v>152</v>
      </c>
      <c r="B4" s="131"/>
      <c r="C4" s="132"/>
      <c r="D4" s="132"/>
      <c r="E4" s="131"/>
      <c r="F4" s="131"/>
      <c r="G4" s="132"/>
      <c r="H4" s="132"/>
      <c r="I4" s="132"/>
      <c r="J4" s="132"/>
      <c r="K4" s="132"/>
      <c r="L4" s="132"/>
      <c r="M4" s="132"/>
      <c r="N4" s="133"/>
    </row>
    <row r="5" spans="1:14" ht="21" customHeight="1">
      <c r="A5" s="148" t="s">
        <v>0</v>
      </c>
      <c r="B5" s="151" t="s">
        <v>187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3"/>
    </row>
    <row r="6" spans="1:14" ht="10.5" customHeight="1">
      <c r="A6" s="149"/>
      <c r="B6" s="134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6"/>
    </row>
    <row r="7" spans="1:14" ht="15">
      <c r="A7" s="149"/>
      <c r="B7" s="154" t="s">
        <v>188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6"/>
    </row>
    <row r="8" spans="1:14" ht="23.25" customHeight="1">
      <c r="A8" s="149"/>
      <c r="B8" s="157" t="s">
        <v>153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9"/>
    </row>
    <row r="9" spans="1:15" ht="25.5" customHeight="1">
      <c r="A9" s="149"/>
      <c r="B9" s="137" t="s">
        <v>154</v>
      </c>
      <c r="C9" s="137" t="s">
        <v>155</v>
      </c>
      <c r="D9" s="137" t="s">
        <v>156</v>
      </c>
      <c r="E9" s="137" t="s">
        <v>157</v>
      </c>
      <c r="F9" s="137" t="s">
        <v>158</v>
      </c>
      <c r="G9" s="137" t="s">
        <v>159</v>
      </c>
      <c r="H9" s="137" t="s">
        <v>160</v>
      </c>
      <c r="I9" s="137" t="s">
        <v>161</v>
      </c>
      <c r="J9" s="137" t="s">
        <v>162</v>
      </c>
      <c r="K9" s="137" t="s">
        <v>163</v>
      </c>
      <c r="L9" s="137" t="s">
        <v>164</v>
      </c>
      <c r="M9" s="137" t="s">
        <v>165</v>
      </c>
      <c r="N9" s="137" t="s">
        <v>166</v>
      </c>
      <c r="O9" s="160" t="s">
        <v>186</v>
      </c>
    </row>
    <row r="10" spans="1:15" ht="66" customHeight="1">
      <c r="A10" s="149"/>
      <c r="B10" s="146" t="s">
        <v>167</v>
      </c>
      <c r="C10" s="146" t="s">
        <v>168</v>
      </c>
      <c r="D10" s="146" t="s">
        <v>169</v>
      </c>
      <c r="E10" s="146" t="s">
        <v>170</v>
      </c>
      <c r="F10" s="146" t="s">
        <v>171</v>
      </c>
      <c r="G10" s="146" t="s">
        <v>172</v>
      </c>
      <c r="H10" s="146" t="s">
        <v>173</v>
      </c>
      <c r="I10" s="146" t="s">
        <v>174</v>
      </c>
      <c r="J10" s="146" t="s">
        <v>175</v>
      </c>
      <c r="K10" s="146" t="s">
        <v>176</v>
      </c>
      <c r="L10" s="146" t="s">
        <v>177</v>
      </c>
      <c r="M10" s="146" t="s">
        <v>178</v>
      </c>
      <c r="N10" s="144" t="s">
        <v>179</v>
      </c>
      <c r="O10" s="161"/>
    </row>
    <row r="11" spans="1:15" ht="60.75" customHeight="1">
      <c r="A11" s="150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5"/>
      <c r="O11" s="162"/>
    </row>
    <row r="12" spans="1:15" ht="15">
      <c r="A12" s="138" t="s">
        <v>180</v>
      </c>
      <c r="B12" s="139">
        <f>+'META 1'!$C12</f>
        <v>1.2913448207565854</v>
      </c>
      <c r="C12" s="139">
        <f>+'META 2'!$C12</f>
        <v>2.3441162681669008</v>
      </c>
      <c r="D12" s="140">
        <f>+'META 3'!$C12</f>
        <v>0.9733063505830201</v>
      </c>
      <c r="E12" s="140">
        <f>+'META 4'!$C12</f>
        <v>1.0714285714285714</v>
      </c>
      <c r="F12" s="140">
        <f>+'META 5'!$C12</f>
        <v>0.5337039051014038</v>
      </c>
      <c r="G12" s="140">
        <f>+'META 6'!$C12</f>
        <v>1.0204081632653061</v>
      </c>
      <c r="H12" s="140">
        <f>+'META 7'!$C12</f>
        <v>1.0200578686675492</v>
      </c>
      <c r="I12" s="140">
        <f>+'META 8'!$C12</f>
        <v>1.01527396649026</v>
      </c>
      <c r="J12" s="140">
        <f>+'META 9'!$C12</f>
        <v>0.4998863894569416</v>
      </c>
      <c r="K12" s="140">
        <f>+'META 10'!$C12</f>
        <v>1.1208764576739942</v>
      </c>
      <c r="L12" s="140">
        <f>+'META 11'!$C12</f>
        <v>0.9769875034416604</v>
      </c>
      <c r="M12" s="139">
        <f>+'META 12'!$C12</f>
        <v>1.765949508767566</v>
      </c>
      <c r="N12" s="139">
        <f>+'META 13'!$C12</f>
        <v>1.3266998341625205</v>
      </c>
      <c r="O12" s="142">
        <f aca="true" t="shared" si="0" ref="O12:O17">+B28*8%+C28*8%+D28*8%+E28*7%+F28*8%+G28*7%+H28*8%+I28*8%+J28*8%+K28*7%+L28*8%+M28*8%+N28*7%</f>
        <v>0.9187107318866421</v>
      </c>
    </row>
    <row r="13" spans="1:15" ht="15">
      <c r="A13" s="141" t="s">
        <v>181</v>
      </c>
      <c r="B13" s="140">
        <f>+'META 1'!$C13</f>
        <v>0.1854089546131666</v>
      </c>
      <c r="C13" s="140">
        <f>+'META 2'!$C13</f>
        <v>0.49064342979383163</v>
      </c>
      <c r="D13" s="140">
        <f>+'META 3'!$C13</f>
        <v>0</v>
      </c>
      <c r="E13" s="140">
        <f>+'META 4'!$C13</f>
        <v>0.9459459459459459</v>
      </c>
      <c r="F13" s="140">
        <f>+'META 5'!$C13</f>
        <v>0.438022527389983</v>
      </c>
      <c r="G13" s="140">
        <f>+'META 6'!$C13</f>
        <v>1.0025062656641603</v>
      </c>
      <c r="H13" s="140">
        <f>+'META 7'!$C13</f>
        <v>1.020307886877422</v>
      </c>
      <c r="I13" s="140">
        <f>+'META 8'!$C13</f>
        <v>0.9648273739641121</v>
      </c>
      <c r="J13" s="140">
        <f>+'META 9'!$C13</f>
        <v>0.5100562221063003</v>
      </c>
      <c r="K13" s="140">
        <f>+'META 10'!$C13</f>
        <v>0.31385267232473296</v>
      </c>
      <c r="L13" s="140">
        <f>+'META 11'!$C13</f>
        <v>1.0847907903475758</v>
      </c>
      <c r="M13" s="139">
        <f>+'META 12'!$C13</f>
        <v>1.9105846388995031</v>
      </c>
      <c r="N13" s="140">
        <f>+'META 13'!$C13</f>
        <v>0</v>
      </c>
      <c r="O13" s="142">
        <f t="shared" si="0"/>
        <v>0.6053025839083389</v>
      </c>
    </row>
    <row r="14" spans="1:15" ht="15">
      <c r="A14" s="141" t="s">
        <v>182</v>
      </c>
      <c r="B14" s="140">
        <f>+'META 1'!$C14</f>
        <v>0.4694260755980079</v>
      </c>
      <c r="C14" s="140">
        <f>+'META 2'!$C14</f>
        <v>0.3330612551249214</v>
      </c>
      <c r="D14" s="140">
        <f>+'META 3'!$C14</f>
        <v>0.13200877075222622</v>
      </c>
      <c r="E14" s="140">
        <f>+'META 4'!$C14</f>
        <v>0.9455128205128205</v>
      </c>
      <c r="F14" s="140">
        <f>+'META 5'!$C14</f>
        <v>0.48799041242366176</v>
      </c>
      <c r="G14" s="140">
        <f>+'META 6'!$C14</f>
        <v>1.0204081632653061</v>
      </c>
      <c r="H14" s="140">
        <f>+'META 7'!$C14</f>
        <v>0.818723261471353</v>
      </c>
      <c r="I14" s="140">
        <f>+'META 8'!$C14</f>
        <v>0.5811411037829424</v>
      </c>
      <c r="J14" s="140">
        <f>+'META 9'!$C14</f>
        <v>0.6615866264989072</v>
      </c>
      <c r="K14" s="140">
        <f>+'META 10'!$C14</f>
        <v>0.8832904401448174</v>
      </c>
      <c r="L14" s="140">
        <f>+'META 11'!$C14</f>
        <v>0.6863192925115701</v>
      </c>
      <c r="M14" s="140">
        <f>+'META 12'!$C14</f>
        <v>0.44462349792158434</v>
      </c>
      <c r="N14" s="140">
        <f>+'META 13'!$C14</f>
        <v>0</v>
      </c>
      <c r="O14" s="142">
        <f t="shared" si="0"/>
        <v>0.5672066519328486</v>
      </c>
    </row>
    <row r="15" spans="1:15" ht="15">
      <c r="A15" s="141" t="s">
        <v>183</v>
      </c>
      <c r="B15" s="140">
        <f>+'META 1'!$C15</f>
        <v>0.41738629821531376</v>
      </c>
      <c r="C15" s="140">
        <f>+'META 2'!$C15</f>
        <v>0.9817509817509817</v>
      </c>
      <c r="D15" s="140">
        <f>+'META 3'!$C15</f>
        <v>1.0739579705096944</v>
      </c>
      <c r="E15" s="140">
        <f>+'META 4'!$C15</f>
        <v>0.8116883116883117</v>
      </c>
      <c r="F15" s="140">
        <f>+'META 5'!$C15</f>
        <v>0.4132231404958678</v>
      </c>
      <c r="G15" s="140">
        <f>+'META 6'!$C15</f>
        <v>1.0204081632653061</v>
      </c>
      <c r="H15" s="140">
        <f>+'META 7'!$C15</f>
        <v>1.0031856889052257</v>
      </c>
      <c r="I15" s="140">
        <f>+'META 8'!$C15</f>
        <v>1.11150842058598</v>
      </c>
      <c r="J15" s="140">
        <f>+'META 9'!$C15</f>
        <v>0.5167958656330749</v>
      </c>
      <c r="K15" s="140">
        <f>+'META 10'!$C15</f>
        <v>0.72596121169</v>
      </c>
      <c r="L15" s="140">
        <f>+'META 11'!$C15</f>
        <v>0.7675402407642157</v>
      </c>
      <c r="M15" s="140">
        <f>+'META 12'!$C15</f>
        <v>0.4584422133590061</v>
      </c>
      <c r="N15" s="140">
        <f>+'META 13'!$C15</f>
        <v>0</v>
      </c>
      <c r="O15" s="142">
        <f t="shared" si="0"/>
        <v>0.7020465658539587</v>
      </c>
    </row>
    <row r="16" spans="1:15" ht="15">
      <c r="A16" s="141" t="s">
        <v>184</v>
      </c>
      <c r="B16" s="140">
        <f>+'META 1'!$C16</f>
        <v>0.4099519366694938</v>
      </c>
      <c r="C16" s="140">
        <f>+'META 2'!$C16</f>
        <v>0.6781097690188599</v>
      </c>
      <c r="D16" s="140">
        <f>+'META 3'!$C16</f>
        <v>0.582396434720956</v>
      </c>
      <c r="E16" s="140">
        <f>+'META 4'!$C16</f>
        <v>0.9859154929577464</v>
      </c>
      <c r="F16" s="140">
        <f>+'META 5'!$C16</f>
        <v>1.1578931008221818</v>
      </c>
      <c r="G16" s="140">
        <f>+'META 6'!$C16</f>
        <v>0.963718820861678</v>
      </c>
      <c r="H16" s="140">
        <f>+'META 7'!$C16</f>
        <v>1.0287227113230937</v>
      </c>
      <c r="I16" s="140">
        <f>+'META 8'!$C16</f>
        <v>1.0260021814047802</v>
      </c>
      <c r="J16" s="140">
        <f>+'META 9'!$C16</f>
        <v>0.5516154452324664</v>
      </c>
      <c r="K16" s="140">
        <f>+'META 10'!$C16</f>
        <v>0.27552588353732843</v>
      </c>
      <c r="L16" s="140">
        <f>+'META 11'!$C16</f>
        <v>1.4301175015460728</v>
      </c>
      <c r="M16" s="140">
        <f>+'META 12'!$C16</f>
        <v>0</v>
      </c>
      <c r="N16" s="140">
        <f>+'META 13'!$C16</f>
        <v>0</v>
      </c>
      <c r="O16" s="142">
        <f t="shared" si="0"/>
        <v>0.6535271006663147</v>
      </c>
    </row>
    <row r="17" spans="1:15" ht="15">
      <c r="A17" s="141" t="s">
        <v>185</v>
      </c>
      <c r="B17" s="140">
        <f>+'META 1'!$C17</f>
        <v>0.3264662839130924</v>
      </c>
      <c r="C17" s="140">
        <f>+'META 2'!$C17</f>
        <v>0.765450004028684</v>
      </c>
      <c r="D17" s="140">
        <f>+'META 3'!$C17</f>
        <v>0.27229576270661987</v>
      </c>
      <c r="E17" s="139">
        <f>+'META 4'!$C17</f>
        <v>1.1726078799249533</v>
      </c>
      <c r="F17" s="140">
        <f>+'META 5'!$C17</f>
        <v>0.9813961426864652</v>
      </c>
      <c r="G17" s="140">
        <f>+'META 6'!$C17</f>
        <v>1.0204081632653061</v>
      </c>
      <c r="H17" s="140">
        <f>+'META 7'!$C17</f>
        <v>1.016392245628126</v>
      </c>
      <c r="I17" s="140">
        <f>+'META 8'!$C17</f>
        <v>1.0433135089089312</v>
      </c>
      <c r="J17" s="140">
        <f>+'META 9'!$C17</f>
        <v>0.62185642432556</v>
      </c>
      <c r="K17" s="140">
        <f>+'META 10'!$C17</f>
        <v>1.4497691242669606</v>
      </c>
      <c r="L17" s="140">
        <f>+'META 11'!$C17</f>
        <v>1.060944981660476</v>
      </c>
      <c r="M17" s="140">
        <f>+'META 12'!$C17</f>
        <v>0</v>
      </c>
      <c r="N17" s="140">
        <f>+'META 13'!$C17</f>
        <v>0</v>
      </c>
      <c r="O17" s="142">
        <f t="shared" si="0"/>
        <v>0.6873971694128337</v>
      </c>
    </row>
    <row r="20" ht="15" hidden="1"/>
    <row r="21" spans="1:14" ht="15" hidden="1">
      <c r="A21" s="148" t="s">
        <v>0</v>
      </c>
      <c r="B21" s="151" t="s">
        <v>187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3"/>
    </row>
    <row r="22" spans="1:14" ht="15" hidden="1">
      <c r="A22" s="149"/>
      <c r="B22" s="134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6"/>
    </row>
    <row r="23" spans="1:14" ht="15" hidden="1">
      <c r="A23" s="149"/>
      <c r="B23" s="154" t="s">
        <v>188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6"/>
    </row>
    <row r="24" spans="1:14" ht="15" hidden="1">
      <c r="A24" s="149"/>
      <c r="B24" s="157" t="s">
        <v>153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9"/>
    </row>
    <row r="25" spans="1:14" ht="15" hidden="1">
      <c r="A25" s="149"/>
      <c r="B25" s="137" t="s">
        <v>154</v>
      </c>
      <c r="C25" s="137" t="s">
        <v>155</v>
      </c>
      <c r="D25" s="137" t="s">
        <v>156</v>
      </c>
      <c r="E25" s="137" t="s">
        <v>157</v>
      </c>
      <c r="F25" s="137" t="s">
        <v>158</v>
      </c>
      <c r="G25" s="137" t="s">
        <v>159</v>
      </c>
      <c r="H25" s="137" t="s">
        <v>160</v>
      </c>
      <c r="I25" s="137" t="s">
        <v>161</v>
      </c>
      <c r="J25" s="137" t="s">
        <v>162</v>
      </c>
      <c r="K25" s="137" t="s">
        <v>163</v>
      </c>
      <c r="L25" s="137" t="s">
        <v>164</v>
      </c>
      <c r="M25" s="137" t="s">
        <v>165</v>
      </c>
      <c r="N25" s="137" t="s">
        <v>166</v>
      </c>
    </row>
    <row r="26" spans="1:14" ht="15" hidden="1">
      <c r="A26" s="149"/>
      <c r="B26" s="146" t="s">
        <v>167</v>
      </c>
      <c r="C26" s="146" t="s">
        <v>168</v>
      </c>
      <c r="D26" s="146" t="s">
        <v>169</v>
      </c>
      <c r="E26" s="146" t="s">
        <v>170</v>
      </c>
      <c r="F26" s="146" t="s">
        <v>171</v>
      </c>
      <c r="G26" s="146" t="s">
        <v>172</v>
      </c>
      <c r="H26" s="146" t="s">
        <v>173</v>
      </c>
      <c r="I26" s="146" t="s">
        <v>174</v>
      </c>
      <c r="J26" s="146" t="s">
        <v>175</v>
      </c>
      <c r="K26" s="146" t="s">
        <v>176</v>
      </c>
      <c r="L26" s="146" t="s">
        <v>177</v>
      </c>
      <c r="M26" s="146" t="s">
        <v>178</v>
      </c>
      <c r="N26" s="144" t="s">
        <v>179</v>
      </c>
    </row>
    <row r="27" spans="1:14" ht="85.5" customHeight="1" hidden="1">
      <c r="A27" s="150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5"/>
    </row>
    <row r="28" spans="1:14" ht="15" hidden="1">
      <c r="A28" s="138" t="s">
        <v>180</v>
      </c>
      <c r="B28" s="140">
        <f>IF(B12="n/a","n/a",IF(B12="","",IF(B12&gt;1,1,B12)))</f>
        <v>1</v>
      </c>
      <c r="C28" s="140">
        <f aca="true" t="shared" si="1" ref="C28:N28">IF(C12="n/a","n/a",IF(C12="","",IF(C12&gt;1,1,C12)))</f>
        <v>1</v>
      </c>
      <c r="D28" s="140">
        <f t="shared" si="1"/>
        <v>0.9733063505830201</v>
      </c>
      <c r="E28" s="140">
        <f t="shared" si="1"/>
        <v>1</v>
      </c>
      <c r="F28" s="140">
        <f t="shared" si="1"/>
        <v>0.5337039051014038</v>
      </c>
      <c r="G28" s="140">
        <f t="shared" si="1"/>
        <v>1</v>
      </c>
      <c r="H28" s="140">
        <f t="shared" si="1"/>
        <v>1</v>
      </c>
      <c r="I28" s="140">
        <f t="shared" si="1"/>
        <v>1</v>
      </c>
      <c r="J28" s="140">
        <f t="shared" si="1"/>
        <v>0.4998863894569416</v>
      </c>
      <c r="K28" s="140">
        <f t="shared" si="1"/>
        <v>1</v>
      </c>
      <c r="L28" s="140">
        <f t="shared" si="1"/>
        <v>0.9769875034416604</v>
      </c>
      <c r="M28" s="140">
        <f t="shared" si="1"/>
        <v>1</v>
      </c>
      <c r="N28" s="140">
        <f t="shared" si="1"/>
        <v>1</v>
      </c>
    </row>
    <row r="29" spans="1:14" ht="15" hidden="1">
      <c r="A29" s="141" t="s">
        <v>181</v>
      </c>
      <c r="B29" s="140">
        <f aca="true" t="shared" si="2" ref="B29:N29">IF(B13="n/a","n/a",IF(B13="","",IF(B13&gt;1,1,B13)))</f>
        <v>0.1854089546131666</v>
      </c>
      <c r="C29" s="140">
        <f t="shared" si="2"/>
        <v>0.49064342979383163</v>
      </c>
      <c r="D29" s="140">
        <f t="shared" si="2"/>
        <v>0</v>
      </c>
      <c r="E29" s="140">
        <f t="shared" si="2"/>
        <v>0.9459459459459459</v>
      </c>
      <c r="F29" s="140">
        <f t="shared" si="2"/>
        <v>0.438022527389983</v>
      </c>
      <c r="G29" s="140">
        <f t="shared" si="2"/>
        <v>1</v>
      </c>
      <c r="H29" s="140">
        <f t="shared" si="2"/>
        <v>1</v>
      </c>
      <c r="I29" s="140">
        <f t="shared" si="2"/>
        <v>0.9648273739641121</v>
      </c>
      <c r="J29" s="140">
        <f t="shared" si="2"/>
        <v>0.5100562221063003</v>
      </c>
      <c r="K29" s="140">
        <f t="shared" si="2"/>
        <v>0.31385267232473296</v>
      </c>
      <c r="L29" s="140">
        <f t="shared" si="2"/>
        <v>1</v>
      </c>
      <c r="M29" s="140">
        <f t="shared" si="2"/>
        <v>1</v>
      </c>
      <c r="N29" s="140">
        <f t="shared" si="2"/>
        <v>0</v>
      </c>
    </row>
    <row r="30" spans="1:14" ht="15" hidden="1">
      <c r="A30" s="141" t="s">
        <v>182</v>
      </c>
      <c r="B30" s="140">
        <f aca="true" t="shared" si="3" ref="B30:N30">IF(B14="n/a","n/a",IF(B14="","",IF(B14&gt;1,1,B14)))</f>
        <v>0.4694260755980079</v>
      </c>
      <c r="C30" s="140">
        <f t="shared" si="3"/>
        <v>0.3330612551249214</v>
      </c>
      <c r="D30" s="140">
        <f t="shared" si="3"/>
        <v>0.13200877075222622</v>
      </c>
      <c r="E30" s="140">
        <f t="shared" si="3"/>
        <v>0.9455128205128205</v>
      </c>
      <c r="F30" s="140">
        <f t="shared" si="3"/>
        <v>0.48799041242366176</v>
      </c>
      <c r="G30" s="140">
        <f t="shared" si="3"/>
        <v>1</v>
      </c>
      <c r="H30" s="140">
        <f t="shared" si="3"/>
        <v>0.818723261471353</v>
      </c>
      <c r="I30" s="140">
        <f t="shared" si="3"/>
        <v>0.5811411037829424</v>
      </c>
      <c r="J30" s="140">
        <f t="shared" si="3"/>
        <v>0.6615866264989072</v>
      </c>
      <c r="K30" s="140">
        <f t="shared" si="3"/>
        <v>0.8832904401448174</v>
      </c>
      <c r="L30" s="140">
        <f t="shared" si="3"/>
        <v>0.6863192925115701</v>
      </c>
      <c r="M30" s="140">
        <f t="shared" si="3"/>
        <v>0.44462349792158434</v>
      </c>
      <c r="N30" s="140">
        <f t="shared" si="3"/>
        <v>0</v>
      </c>
    </row>
    <row r="31" spans="1:14" ht="15" hidden="1">
      <c r="A31" s="141" t="s">
        <v>183</v>
      </c>
      <c r="B31" s="140">
        <f aca="true" t="shared" si="4" ref="B31:N31">IF(B15="n/a","n/a",IF(B15="","",IF(B15&gt;1,1,B15)))</f>
        <v>0.41738629821531376</v>
      </c>
      <c r="C31" s="140">
        <f t="shared" si="4"/>
        <v>0.9817509817509817</v>
      </c>
      <c r="D31" s="140">
        <f t="shared" si="4"/>
        <v>1</v>
      </c>
      <c r="E31" s="140">
        <f t="shared" si="4"/>
        <v>0.8116883116883117</v>
      </c>
      <c r="F31" s="140">
        <f t="shared" si="4"/>
        <v>0.4132231404958678</v>
      </c>
      <c r="G31" s="140">
        <f t="shared" si="4"/>
        <v>1</v>
      </c>
      <c r="H31" s="140">
        <f t="shared" si="4"/>
        <v>1</v>
      </c>
      <c r="I31" s="140">
        <f t="shared" si="4"/>
        <v>1</v>
      </c>
      <c r="J31" s="140">
        <f t="shared" si="4"/>
        <v>0.5167958656330749</v>
      </c>
      <c r="K31" s="140">
        <f t="shared" si="4"/>
        <v>0.72596121169</v>
      </c>
      <c r="L31" s="140">
        <f t="shared" si="4"/>
        <v>0.7675402407642157</v>
      </c>
      <c r="M31" s="140">
        <f t="shared" si="4"/>
        <v>0.4584422133590061</v>
      </c>
      <c r="N31" s="140">
        <f t="shared" si="4"/>
        <v>0</v>
      </c>
    </row>
    <row r="32" spans="1:14" ht="15" hidden="1">
      <c r="A32" s="141" t="s">
        <v>184</v>
      </c>
      <c r="B32" s="140">
        <f aca="true" t="shared" si="5" ref="B32:N32">IF(B16="n/a","n/a",IF(B16="","",IF(B16&gt;1,1,B16)))</f>
        <v>0.4099519366694938</v>
      </c>
      <c r="C32" s="140">
        <f t="shared" si="5"/>
        <v>0.6781097690188599</v>
      </c>
      <c r="D32" s="140">
        <f t="shared" si="5"/>
        <v>0.582396434720956</v>
      </c>
      <c r="E32" s="140">
        <f t="shared" si="5"/>
        <v>0.9859154929577464</v>
      </c>
      <c r="F32" s="140">
        <f t="shared" si="5"/>
        <v>1</v>
      </c>
      <c r="G32" s="140">
        <f t="shared" si="5"/>
        <v>0.963718820861678</v>
      </c>
      <c r="H32" s="140">
        <f t="shared" si="5"/>
        <v>1</v>
      </c>
      <c r="I32" s="140">
        <f t="shared" si="5"/>
        <v>1</v>
      </c>
      <c r="J32" s="140">
        <f t="shared" si="5"/>
        <v>0.5516154452324664</v>
      </c>
      <c r="K32" s="140">
        <f t="shared" si="5"/>
        <v>0.27552588353732843</v>
      </c>
      <c r="L32" s="140">
        <f t="shared" si="5"/>
        <v>1</v>
      </c>
      <c r="M32" s="140">
        <f t="shared" si="5"/>
        <v>0</v>
      </c>
      <c r="N32" s="140">
        <f t="shared" si="5"/>
        <v>0</v>
      </c>
    </row>
    <row r="33" spans="1:14" ht="15" hidden="1">
      <c r="A33" s="141" t="s">
        <v>185</v>
      </c>
      <c r="B33" s="140">
        <f aca="true" t="shared" si="6" ref="B33:N33">IF(B17="n/a","n/a",IF(B17="","",IF(B17&gt;1,1,B17)))</f>
        <v>0.3264662839130924</v>
      </c>
      <c r="C33" s="140">
        <f t="shared" si="6"/>
        <v>0.765450004028684</v>
      </c>
      <c r="D33" s="140">
        <f t="shared" si="6"/>
        <v>0.27229576270661987</v>
      </c>
      <c r="E33" s="140">
        <f t="shared" si="6"/>
        <v>1</v>
      </c>
      <c r="F33" s="140">
        <f t="shared" si="6"/>
        <v>0.9813961426864652</v>
      </c>
      <c r="G33" s="140">
        <f t="shared" si="6"/>
        <v>1</v>
      </c>
      <c r="H33" s="140">
        <f t="shared" si="6"/>
        <v>1</v>
      </c>
      <c r="I33" s="140">
        <f t="shared" si="6"/>
        <v>1</v>
      </c>
      <c r="J33" s="140">
        <f t="shared" si="6"/>
        <v>0.62185642432556</v>
      </c>
      <c r="K33" s="140">
        <f t="shared" si="6"/>
        <v>1</v>
      </c>
      <c r="L33" s="140">
        <f t="shared" si="6"/>
        <v>1</v>
      </c>
      <c r="M33" s="140">
        <f t="shared" si="6"/>
        <v>0</v>
      </c>
      <c r="N33" s="140">
        <f t="shared" si="6"/>
        <v>0</v>
      </c>
    </row>
    <row r="34" ht="15" hidden="1"/>
    <row r="35" ht="15" hidden="1"/>
  </sheetData>
  <sheetProtection/>
  <mergeCells count="35">
    <mergeCell ref="M26:M27"/>
    <mergeCell ref="N26:N27"/>
    <mergeCell ref="G26:G27"/>
    <mergeCell ref="H26:H27"/>
    <mergeCell ref="I26:I27"/>
    <mergeCell ref="J26:J27"/>
    <mergeCell ref="K26:K27"/>
    <mergeCell ref="L26:L27"/>
    <mergeCell ref="O9:O11"/>
    <mergeCell ref="A21:A27"/>
    <mergeCell ref="B21:N21"/>
    <mergeCell ref="B23:N23"/>
    <mergeCell ref="B24:N24"/>
    <mergeCell ref="B26:B27"/>
    <mergeCell ref="C26:C27"/>
    <mergeCell ref="D26:D27"/>
    <mergeCell ref="E26:E27"/>
    <mergeCell ref="F26:F27"/>
    <mergeCell ref="A5:A11"/>
    <mergeCell ref="B5:N5"/>
    <mergeCell ref="B7:N7"/>
    <mergeCell ref="B8:N8"/>
    <mergeCell ref="B10:B11"/>
    <mergeCell ref="C10:C11"/>
    <mergeCell ref="D10:D11"/>
    <mergeCell ref="E10:E11"/>
    <mergeCell ref="F10:F11"/>
    <mergeCell ref="G10:G11"/>
    <mergeCell ref="N10:N11"/>
    <mergeCell ref="H10:H11"/>
    <mergeCell ref="I10:I11"/>
    <mergeCell ref="J10:J11"/>
    <mergeCell ref="K10:K11"/>
    <mergeCell ref="L10:L11"/>
    <mergeCell ref="M10:M11"/>
  </mergeCells>
  <conditionalFormatting sqref="B10">
    <cfRule type="cellIs" priority="13" dxfId="9" operator="lessThan" stopIfTrue="1">
      <formula>0.25</formula>
    </cfRule>
  </conditionalFormatting>
  <conditionalFormatting sqref="C10:N10">
    <cfRule type="cellIs" priority="12" dxfId="9" operator="lessThan" stopIfTrue="1">
      <formula>0.25</formula>
    </cfRule>
  </conditionalFormatting>
  <conditionalFormatting sqref="O9">
    <cfRule type="cellIs" priority="8" dxfId="9" operator="lessThan" stopIfTrue="1">
      <formula>0.25</formula>
    </cfRule>
  </conditionalFormatting>
  <conditionalFormatting sqref="B26">
    <cfRule type="cellIs" priority="7" dxfId="9" operator="lessThan" stopIfTrue="1">
      <formula>0.25</formula>
    </cfRule>
  </conditionalFormatting>
  <conditionalFormatting sqref="C26:N26">
    <cfRule type="cellIs" priority="6" dxfId="9" operator="lessThan" stopIfTrue="1">
      <formula>0.25</formula>
    </cfRule>
  </conditionalFormatting>
  <conditionalFormatting sqref="N28:N33">
    <cfRule type="cellIs" priority="4" dxfId="3" operator="greaterThan" stopIfTrue="1">
      <formula>1.99</formula>
    </cfRule>
    <cfRule type="cellIs" priority="5" dxfId="10" operator="lessThan" stopIfTrue="1">
      <formula>1</formula>
    </cfRule>
  </conditionalFormatting>
  <conditionalFormatting sqref="B12:N17">
    <cfRule type="cellIs" priority="1" dxfId="1" operator="equal" stopIfTrue="1">
      <formula>0</formula>
    </cfRule>
    <cfRule type="cellIs" priority="2" dxfId="11" operator="lessThan" stopIfTrue="1">
      <formula>0.5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8"/>
  <sheetViews>
    <sheetView zoomScalePageLayoutView="0" workbookViewId="0" topLeftCell="A1">
      <pane xSplit="2" ySplit="11" topLeftCell="C12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S14" sqref="S14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5.00390625" style="0" customWidth="1"/>
    <col min="5" max="6" width="9.7109375" style="21" bestFit="1" customWidth="1"/>
    <col min="7" max="10" width="6.57421875" style="21" bestFit="1" customWidth="1"/>
    <col min="11" max="11" width="6.7109375" style="21" customWidth="1"/>
    <col min="12" max="12" width="7.421875" style="21" bestFit="1" customWidth="1"/>
    <col min="13" max="13" width="6.8515625" style="21" customWidth="1"/>
    <col min="14" max="16" width="7.421875" style="21" bestFit="1" customWidth="1"/>
    <col min="17" max="17" width="8.00390625" style="21" customWidth="1"/>
    <col min="18" max="23" width="9.57421875" style="21" customWidth="1"/>
  </cols>
  <sheetData>
    <row r="1" spans="1:23" ht="81.75" customHeight="1" thickBot="1" thickTop="1">
      <c r="A1" s="173" t="s">
        <v>0</v>
      </c>
      <c r="B1" s="167" t="s">
        <v>1</v>
      </c>
      <c r="C1" s="167" t="s">
        <v>63</v>
      </c>
      <c r="D1" s="190" t="s">
        <v>60</v>
      </c>
      <c r="E1" s="240" t="s">
        <v>50</v>
      </c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</row>
    <row r="2" spans="1:23" ht="15" customHeight="1" thickTop="1">
      <c r="A2" s="174"/>
      <c r="B2" s="177"/>
      <c r="C2" s="168"/>
      <c r="D2" s="191"/>
      <c r="E2" s="204" t="s">
        <v>3</v>
      </c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31" t="s">
        <v>4</v>
      </c>
      <c r="S2" s="232"/>
      <c r="T2" s="232"/>
      <c r="U2" s="232"/>
      <c r="V2" s="232"/>
      <c r="W2" s="233"/>
    </row>
    <row r="3" spans="1:23" ht="15" customHeight="1">
      <c r="A3" s="174"/>
      <c r="B3" s="177"/>
      <c r="C3" s="168"/>
      <c r="D3" s="191"/>
      <c r="E3" s="206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16"/>
      <c r="S3" s="207"/>
      <c r="T3" s="207"/>
      <c r="U3" s="207"/>
      <c r="V3" s="207"/>
      <c r="W3" s="234"/>
    </row>
    <row r="4" spans="1:23" ht="15" customHeight="1">
      <c r="A4" s="174"/>
      <c r="B4" s="177"/>
      <c r="C4" s="168"/>
      <c r="D4" s="191"/>
      <c r="E4" s="206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16"/>
      <c r="S4" s="207"/>
      <c r="T4" s="207"/>
      <c r="U4" s="207"/>
      <c r="V4" s="207"/>
      <c r="W4" s="234"/>
    </row>
    <row r="5" spans="1:23" ht="15" customHeight="1">
      <c r="A5" s="174"/>
      <c r="B5" s="177"/>
      <c r="C5" s="168"/>
      <c r="D5" s="191"/>
      <c r="E5" s="206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16"/>
      <c r="S5" s="207"/>
      <c r="T5" s="207"/>
      <c r="U5" s="207"/>
      <c r="V5" s="207"/>
      <c r="W5" s="234"/>
    </row>
    <row r="6" spans="1:23" ht="15" customHeight="1">
      <c r="A6" s="174"/>
      <c r="B6" s="177"/>
      <c r="C6" s="168"/>
      <c r="D6" s="191"/>
      <c r="E6" s="206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16"/>
      <c r="S6" s="207"/>
      <c r="T6" s="207"/>
      <c r="U6" s="207"/>
      <c r="V6" s="207"/>
      <c r="W6" s="234"/>
    </row>
    <row r="7" spans="1:23" ht="15" customHeight="1">
      <c r="A7" s="174"/>
      <c r="B7" s="177"/>
      <c r="C7" s="168"/>
      <c r="D7" s="191"/>
      <c r="E7" s="206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16"/>
      <c r="S7" s="207"/>
      <c r="T7" s="207"/>
      <c r="U7" s="207"/>
      <c r="V7" s="207"/>
      <c r="W7" s="234"/>
    </row>
    <row r="8" spans="1:23" ht="15" customHeight="1">
      <c r="A8" s="174"/>
      <c r="B8" s="177"/>
      <c r="C8" s="168"/>
      <c r="D8" s="191"/>
      <c r="E8" s="206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16"/>
      <c r="S8" s="207"/>
      <c r="T8" s="207"/>
      <c r="U8" s="207"/>
      <c r="V8" s="207"/>
      <c r="W8" s="234"/>
    </row>
    <row r="9" spans="1:23" ht="15.75" customHeight="1" thickBot="1">
      <c r="A9" s="174"/>
      <c r="B9" s="177"/>
      <c r="C9" s="168"/>
      <c r="D9" s="191"/>
      <c r="E9" s="208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17"/>
      <c r="S9" s="218"/>
      <c r="T9" s="218"/>
      <c r="U9" s="218"/>
      <c r="V9" s="218"/>
      <c r="W9" s="235"/>
    </row>
    <row r="10" spans="1:23" ht="57.75" customHeight="1" thickBot="1" thickTop="1">
      <c r="A10" s="175"/>
      <c r="B10" s="169"/>
      <c r="C10" s="168"/>
      <c r="D10" s="192"/>
      <c r="E10" s="213" t="s">
        <v>51</v>
      </c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21" t="s">
        <v>52</v>
      </c>
      <c r="S10" s="222"/>
      <c r="T10" s="222"/>
      <c r="U10" s="222"/>
      <c r="V10" s="222"/>
      <c r="W10" s="223"/>
    </row>
    <row r="11" spans="1:23" ht="15.75" thickBot="1">
      <c r="A11" s="104"/>
      <c r="B11" s="104"/>
      <c r="C11" s="169"/>
      <c r="D11" s="104" t="s">
        <v>61</v>
      </c>
      <c r="E11" s="105" t="s">
        <v>7</v>
      </c>
      <c r="F11" s="105" t="s">
        <v>8</v>
      </c>
      <c r="G11" s="105" t="s">
        <v>9</v>
      </c>
      <c r="H11" s="105" t="s">
        <v>10</v>
      </c>
      <c r="I11" s="105" t="s">
        <v>11</v>
      </c>
      <c r="J11" s="105" t="s">
        <v>12</v>
      </c>
      <c r="K11" s="105" t="s">
        <v>13</v>
      </c>
      <c r="L11" s="105" t="s">
        <v>14</v>
      </c>
      <c r="M11" s="105" t="s">
        <v>15</v>
      </c>
      <c r="N11" s="105" t="s">
        <v>16</v>
      </c>
      <c r="O11" s="105" t="s">
        <v>17</v>
      </c>
      <c r="P11" s="105" t="s">
        <v>18</v>
      </c>
      <c r="Q11" s="105" t="s">
        <v>19</v>
      </c>
      <c r="R11" s="105" t="s">
        <v>134</v>
      </c>
      <c r="S11" s="106" t="s">
        <v>75</v>
      </c>
      <c r="T11" s="105" t="s">
        <v>20</v>
      </c>
      <c r="U11" s="106" t="s">
        <v>23</v>
      </c>
      <c r="V11" s="106" t="s">
        <v>25</v>
      </c>
      <c r="W11" s="106" t="s">
        <v>24</v>
      </c>
    </row>
    <row r="12" spans="1:23" s="68" customFormat="1" ht="13.5" thickBot="1">
      <c r="A12" s="1" t="s">
        <v>78</v>
      </c>
      <c r="B12" s="65" t="s">
        <v>79</v>
      </c>
      <c r="C12" s="85">
        <f>+D12/'Meta Corte Hosp'!O28</f>
        <v>0.4998863894569416</v>
      </c>
      <c r="D12" s="86">
        <f>+Q12/S12</f>
        <v>0.20245398773006135</v>
      </c>
      <c r="E12" s="77">
        <v>14</v>
      </c>
      <c r="F12" s="77">
        <v>3</v>
      </c>
      <c r="G12" s="77">
        <v>9</v>
      </c>
      <c r="H12" s="77">
        <v>7</v>
      </c>
      <c r="I12" s="77"/>
      <c r="J12" s="77"/>
      <c r="K12" s="77"/>
      <c r="L12" s="77"/>
      <c r="M12" s="77"/>
      <c r="N12" s="77"/>
      <c r="O12" s="77"/>
      <c r="P12" s="77"/>
      <c r="Q12" s="10">
        <f aca="true" t="shared" si="0" ref="Q12:Q17">SUM(E12:P12)</f>
        <v>33</v>
      </c>
      <c r="R12" s="10">
        <v>163</v>
      </c>
      <c r="S12" s="17">
        <f aca="true" t="shared" si="1" ref="S12:S17">+R12</f>
        <v>163</v>
      </c>
      <c r="T12" s="10">
        <v>163</v>
      </c>
      <c r="U12" s="18"/>
      <c r="V12" s="18"/>
      <c r="W12" s="64"/>
    </row>
    <row r="13" spans="1:23" s="68" customFormat="1" ht="13.5" thickBot="1">
      <c r="A13" s="1" t="s">
        <v>53</v>
      </c>
      <c r="B13" s="65" t="s">
        <v>80</v>
      </c>
      <c r="C13" s="85">
        <f>+D13/'Meta Corte Hosp'!O29</f>
        <v>0.5100562221063003</v>
      </c>
      <c r="D13" s="86">
        <f>+Q13/S13</f>
        <v>0.20657276995305165</v>
      </c>
      <c r="E13" s="77">
        <v>16</v>
      </c>
      <c r="F13" s="77">
        <v>5</v>
      </c>
      <c r="G13" s="77">
        <v>13</v>
      </c>
      <c r="H13" s="77">
        <v>10</v>
      </c>
      <c r="I13" s="77"/>
      <c r="J13" s="77"/>
      <c r="K13" s="77"/>
      <c r="L13" s="77"/>
      <c r="M13" s="77"/>
      <c r="N13" s="77"/>
      <c r="O13" s="77"/>
      <c r="P13" s="77"/>
      <c r="Q13" s="10">
        <f t="shared" si="0"/>
        <v>44</v>
      </c>
      <c r="R13" s="10">
        <v>213</v>
      </c>
      <c r="S13" s="17">
        <f t="shared" si="1"/>
        <v>213</v>
      </c>
      <c r="T13" s="10">
        <v>213</v>
      </c>
      <c r="U13" s="18"/>
      <c r="V13" s="18"/>
      <c r="W13" s="64"/>
    </row>
    <row r="14" spans="1:23" s="68" customFormat="1" ht="13.5" thickBot="1">
      <c r="A14" s="1" t="s">
        <v>54</v>
      </c>
      <c r="B14" s="65" t="s">
        <v>81</v>
      </c>
      <c r="C14" s="85">
        <f>+D14/'Meta Corte Hosp'!O30</f>
        <v>0.6615866264989072</v>
      </c>
      <c r="D14" s="86">
        <f>+Q14/S14</f>
        <v>0.2679425837320574</v>
      </c>
      <c r="E14" s="77">
        <v>18</v>
      </c>
      <c r="F14" s="77">
        <v>13</v>
      </c>
      <c r="G14" s="77">
        <v>16</v>
      </c>
      <c r="H14" s="77">
        <v>9</v>
      </c>
      <c r="I14" s="77"/>
      <c r="J14" s="77"/>
      <c r="K14" s="77"/>
      <c r="L14" s="77"/>
      <c r="M14" s="77"/>
      <c r="N14" s="77"/>
      <c r="O14" s="77"/>
      <c r="P14" s="77"/>
      <c r="Q14" s="10">
        <f t="shared" si="0"/>
        <v>56</v>
      </c>
      <c r="R14" s="10">
        <v>209</v>
      </c>
      <c r="S14" s="17">
        <f t="shared" si="1"/>
        <v>209</v>
      </c>
      <c r="T14" s="10">
        <v>209</v>
      </c>
      <c r="U14" s="18"/>
      <c r="V14" s="18"/>
      <c r="W14" s="64"/>
    </row>
    <row r="15" spans="1:23" s="68" customFormat="1" ht="13.5" thickBot="1">
      <c r="A15" s="1" t="s">
        <v>55</v>
      </c>
      <c r="B15" s="65" t="s">
        <v>82</v>
      </c>
      <c r="C15" s="85">
        <f>+D15/'Meta Corte Hosp'!O31</f>
        <v>0.5167958656330749</v>
      </c>
      <c r="D15" s="86">
        <f>+Q15/S15</f>
        <v>0.20930232558139536</v>
      </c>
      <c r="E15" s="77">
        <v>7</v>
      </c>
      <c r="F15" s="77">
        <v>11</v>
      </c>
      <c r="G15" s="77">
        <v>14</v>
      </c>
      <c r="H15" s="77">
        <v>13</v>
      </c>
      <c r="I15" s="77"/>
      <c r="J15" s="77"/>
      <c r="K15" s="77"/>
      <c r="L15" s="77"/>
      <c r="M15" s="77"/>
      <c r="N15" s="77"/>
      <c r="O15" s="77"/>
      <c r="P15" s="77"/>
      <c r="Q15" s="10">
        <f t="shared" si="0"/>
        <v>45</v>
      </c>
      <c r="R15" s="10">
        <v>215</v>
      </c>
      <c r="S15" s="17">
        <f t="shared" si="1"/>
        <v>215</v>
      </c>
      <c r="T15" s="10">
        <v>215</v>
      </c>
      <c r="U15" s="18"/>
      <c r="V15" s="18"/>
      <c r="W15" s="64"/>
    </row>
    <row r="16" spans="1:23" s="68" customFormat="1" ht="13.5" thickBot="1">
      <c r="A16" s="1" t="s">
        <v>56</v>
      </c>
      <c r="B16" s="65" t="s">
        <v>83</v>
      </c>
      <c r="C16" s="85">
        <f>+D16/'Meta Corte Hosp'!O32</f>
        <v>0.5516154452324664</v>
      </c>
      <c r="D16" s="86">
        <f>+Q16/S16</f>
        <v>0.22340425531914893</v>
      </c>
      <c r="E16" s="77">
        <v>6</v>
      </c>
      <c r="F16" s="77">
        <v>13</v>
      </c>
      <c r="G16" s="77">
        <v>11</v>
      </c>
      <c r="H16" s="77">
        <v>12</v>
      </c>
      <c r="I16" s="77"/>
      <c r="J16" s="77"/>
      <c r="K16" s="77"/>
      <c r="L16" s="77"/>
      <c r="M16" s="77"/>
      <c r="N16" s="77"/>
      <c r="O16" s="77"/>
      <c r="P16" s="77"/>
      <c r="Q16" s="10">
        <f t="shared" si="0"/>
        <v>42</v>
      </c>
      <c r="R16" s="10">
        <v>188</v>
      </c>
      <c r="S16" s="17">
        <f t="shared" si="1"/>
        <v>188</v>
      </c>
      <c r="T16" s="10">
        <v>188</v>
      </c>
      <c r="U16" s="18"/>
      <c r="V16" s="18"/>
      <c r="W16" s="64"/>
    </row>
    <row r="17" spans="1:23" s="68" customFormat="1" ht="15.75" customHeight="1" thickBot="1">
      <c r="A17" s="1" t="s">
        <v>57</v>
      </c>
      <c r="B17" s="65" t="s">
        <v>84</v>
      </c>
      <c r="C17" s="85">
        <f>+D17/'Meta Corte Hosp'!O33</f>
        <v>0.62185642432556</v>
      </c>
      <c r="D17" s="86">
        <f>+Q17/S17</f>
        <v>0.2518518518518518</v>
      </c>
      <c r="E17" s="77">
        <v>6</v>
      </c>
      <c r="F17" s="77">
        <v>5</v>
      </c>
      <c r="G17" s="77">
        <v>13</v>
      </c>
      <c r="H17" s="77">
        <v>10</v>
      </c>
      <c r="I17" s="77"/>
      <c r="J17" s="77"/>
      <c r="K17" s="77"/>
      <c r="L17" s="77"/>
      <c r="M17" s="77"/>
      <c r="N17" s="77"/>
      <c r="O17" s="77"/>
      <c r="P17" s="77"/>
      <c r="Q17" s="10">
        <f t="shared" si="0"/>
        <v>34</v>
      </c>
      <c r="R17" s="10">
        <v>135</v>
      </c>
      <c r="S17" s="17">
        <f t="shared" si="1"/>
        <v>135</v>
      </c>
      <c r="T17" s="10">
        <v>135</v>
      </c>
      <c r="U17" s="18"/>
      <c r="V17" s="18"/>
      <c r="W17" s="64"/>
    </row>
    <row r="18" spans="1:23" s="68" customFormat="1" ht="12.75">
      <c r="A18" s="70"/>
      <c r="B18" s="69" t="s">
        <v>85</v>
      </c>
      <c r="C18" s="65"/>
      <c r="D18" s="65"/>
      <c r="E18" s="81">
        <f>SUM(E12:E17)</f>
        <v>67</v>
      </c>
      <c r="F18" s="81">
        <f aca="true" t="shared" si="2" ref="F18:W18">SUM(F12:F17)</f>
        <v>50</v>
      </c>
      <c r="G18" s="81">
        <f t="shared" si="2"/>
        <v>76</v>
      </c>
      <c r="H18" s="81">
        <f t="shared" si="2"/>
        <v>61</v>
      </c>
      <c r="I18" s="81">
        <f t="shared" si="2"/>
        <v>0</v>
      </c>
      <c r="J18" s="81">
        <f t="shared" si="2"/>
        <v>0</v>
      </c>
      <c r="K18" s="81">
        <f t="shared" si="2"/>
        <v>0</v>
      </c>
      <c r="L18" s="81">
        <f t="shared" si="2"/>
        <v>0</v>
      </c>
      <c r="M18" s="81">
        <f t="shared" si="2"/>
        <v>0</v>
      </c>
      <c r="N18" s="81">
        <f t="shared" si="2"/>
        <v>0</v>
      </c>
      <c r="O18" s="81">
        <f t="shared" si="2"/>
        <v>0</v>
      </c>
      <c r="P18" s="81">
        <f t="shared" si="2"/>
        <v>0</v>
      </c>
      <c r="Q18" s="81">
        <f t="shared" si="2"/>
        <v>254</v>
      </c>
      <c r="R18" s="81">
        <f t="shared" si="2"/>
        <v>1123</v>
      </c>
      <c r="S18" s="81">
        <f t="shared" si="2"/>
        <v>1123</v>
      </c>
      <c r="T18" s="81">
        <f t="shared" si="2"/>
        <v>1123</v>
      </c>
      <c r="U18" s="81">
        <f t="shared" si="2"/>
        <v>0</v>
      </c>
      <c r="V18" s="81">
        <f t="shared" si="2"/>
        <v>0</v>
      </c>
      <c r="W18" s="81">
        <f t="shared" si="2"/>
        <v>0</v>
      </c>
    </row>
  </sheetData>
  <sheetProtection/>
  <mergeCells count="9">
    <mergeCell ref="A1:A10"/>
    <mergeCell ref="E2:Q9"/>
    <mergeCell ref="D1:D10"/>
    <mergeCell ref="E10:Q10"/>
    <mergeCell ref="C1:C11"/>
    <mergeCell ref="R10:W10"/>
    <mergeCell ref="R2:W9"/>
    <mergeCell ref="E1:W1"/>
    <mergeCell ref="B1:B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pane xSplit="2" ySplit="11" topLeftCell="C12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R18" sqref="R18:S18"/>
    </sheetView>
  </sheetViews>
  <sheetFormatPr defaultColWidth="11.421875" defaultRowHeight="15"/>
  <cols>
    <col min="1" max="1" width="23.421875" style="0" customWidth="1"/>
    <col min="2" max="2" width="52.140625" style="0" bestFit="1" customWidth="1"/>
    <col min="3" max="3" width="13.57421875" style="0" customWidth="1"/>
    <col min="4" max="4" width="11.00390625" style="0" bestFit="1" customWidth="1"/>
    <col min="5" max="5" width="11.7109375" style="21" bestFit="1" customWidth="1"/>
    <col min="6" max="6" width="9.7109375" style="21" bestFit="1" customWidth="1"/>
    <col min="7" max="14" width="8.57421875" style="21" bestFit="1" customWidth="1"/>
    <col min="15" max="16" width="7.421875" style="21" bestFit="1" customWidth="1"/>
    <col min="17" max="17" width="11.7109375" style="21" bestFit="1" customWidth="1"/>
    <col min="18" max="18" width="9.00390625" style="0" bestFit="1" customWidth="1"/>
    <col min="19" max="19" width="15.7109375" style="0" customWidth="1"/>
  </cols>
  <sheetData>
    <row r="1" spans="1:19" ht="73.5" customHeight="1" thickBot="1" thickTop="1">
      <c r="A1" s="173" t="s">
        <v>0</v>
      </c>
      <c r="B1" s="167" t="s">
        <v>1</v>
      </c>
      <c r="C1" s="167" t="s">
        <v>63</v>
      </c>
      <c r="D1" s="190" t="s">
        <v>60</v>
      </c>
      <c r="E1" s="200" t="s">
        <v>48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2" spans="1:19" ht="15" customHeight="1">
      <c r="A2" s="174"/>
      <c r="B2" s="177"/>
      <c r="C2" s="168"/>
      <c r="D2" s="191"/>
      <c r="E2" s="204" t="s">
        <v>3</v>
      </c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181" t="s">
        <v>4</v>
      </c>
      <c r="S2" s="178"/>
    </row>
    <row r="3" spans="1:19" ht="15" customHeight="1">
      <c r="A3" s="174"/>
      <c r="B3" s="177"/>
      <c r="C3" s="168"/>
      <c r="D3" s="191"/>
      <c r="E3" s="206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183"/>
      <c r="S3" s="179"/>
    </row>
    <row r="4" spans="1:19" ht="15" customHeight="1">
      <c r="A4" s="174"/>
      <c r="B4" s="177"/>
      <c r="C4" s="168"/>
      <c r="D4" s="191"/>
      <c r="E4" s="206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183"/>
      <c r="S4" s="179"/>
    </row>
    <row r="5" spans="1:19" ht="15" customHeight="1">
      <c r="A5" s="174"/>
      <c r="B5" s="177"/>
      <c r="C5" s="168"/>
      <c r="D5" s="191"/>
      <c r="E5" s="206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183"/>
      <c r="S5" s="179"/>
    </row>
    <row r="6" spans="1:19" ht="15" customHeight="1">
      <c r="A6" s="174"/>
      <c r="B6" s="177"/>
      <c r="C6" s="168"/>
      <c r="D6" s="191"/>
      <c r="E6" s="206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183"/>
      <c r="S6" s="179"/>
    </row>
    <row r="7" spans="1:19" ht="15" customHeight="1">
      <c r="A7" s="174"/>
      <c r="B7" s="177"/>
      <c r="C7" s="168"/>
      <c r="D7" s="191"/>
      <c r="E7" s="206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183"/>
      <c r="S7" s="179"/>
    </row>
    <row r="8" spans="1:19" ht="15" customHeight="1">
      <c r="A8" s="174"/>
      <c r="B8" s="177"/>
      <c r="C8" s="168"/>
      <c r="D8" s="191"/>
      <c r="E8" s="206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183"/>
      <c r="S8" s="179"/>
    </row>
    <row r="9" spans="1:19" ht="15.75" customHeight="1" thickBot="1">
      <c r="A9" s="174"/>
      <c r="B9" s="177"/>
      <c r="C9" s="168"/>
      <c r="D9" s="191"/>
      <c r="E9" s="208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185"/>
      <c r="S9" s="180"/>
    </row>
    <row r="10" spans="1:19" ht="57.75" customHeight="1" thickBot="1">
      <c r="A10" s="175"/>
      <c r="B10" s="169"/>
      <c r="C10" s="168"/>
      <c r="D10" s="192"/>
      <c r="E10" s="213" t="s">
        <v>49</v>
      </c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5"/>
      <c r="R10" s="198" t="s">
        <v>131</v>
      </c>
      <c r="S10" s="198"/>
    </row>
    <row r="11" spans="1:19" ht="15.75" thickBot="1">
      <c r="A11" s="104"/>
      <c r="B11" s="104"/>
      <c r="C11" s="169"/>
      <c r="D11" s="104" t="s">
        <v>61</v>
      </c>
      <c r="E11" s="105" t="s">
        <v>7</v>
      </c>
      <c r="F11" s="105" t="s">
        <v>8</v>
      </c>
      <c r="G11" s="105" t="s">
        <v>9</v>
      </c>
      <c r="H11" s="105" t="s">
        <v>10</v>
      </c>
      <c r="I11" s="105" t="s">
        <v>11</v>
      </c>
      <c r="J11" s="105" t="s">
        <v>12</v>
      </c>
      <c r="K11" s="105" t="s">
        <v>13</v>
      </c>
      <c r="L11" s="105" t="s">
        <v>14</v>
      </c>
      <c r="M11" s="105" t="s">
        <v>15</v>
      </c>
      <c r="N11" s="105" t="s">
        <v>16</v>
      </c>
      <c r="O11" s="105" t="s">
        <v>17</v>
      </c>
      <c r="P11" s="105" t="s">
        <v>18</v>
      </c>
      <c r="Q11" s="105" t="s">
        <v>19</v>
      </c>
      <c r="R11" s="199"/>
      <c r="S11" s="199"/>
    </row>
    <row r="12" spans="1:21" s="68" customFormat="1" ht="13.5" thickBot="1">
      <c r="A12" s="1" t="s">
        <v>78</v>
      </c>
      <c r="B12" s="65" t="s">
        <v>79</v>
      </c>
      <c r="C12" s="85">
        <f>+D12/'Meta Corte Hosp'!P28</f>
        <v>1.1208764576739942</v>
      </c>
      <c r="D12" s="87">
        <f aca="true" t="shared" si="0" ref="D12:D17">+Q12/R12</f>
        <v>0.36316397228637415</v>
      </c>
      <c r="E12" s="77">
        <v>146</v>
      </c>
      <c r="F12" s="77">
        <v>149</v>
      </c>
      <c r="G12" s="77">
        <v>156</v>
      </c>
      <c r="H12" s="77">
        <v>178</v>
      </c>
      <c r="I12" s="77"/>
      <c r="J12" s="77"/>
      <c r="K12" s="77"/>
      <c r="L12" s="77"/>
      <c r="M12" s="77"/>
      <c r="N12" s="77"/>
      <c r="O12" s="77"/>
      <c r="P12" s="77"/>
      <c r="Q12" s="10">
        <f aca="true" t="shared" si="1" ref="Q12:Q17">SUM(E12:P12)</f>
        <v>629</v>
      </c>
      <c r="R12" s="194">
        <f>6928/4</f>
        <v>1732</v>
      </c>
      <c r="S12" s="195"/>
      <c r="U12" s="75"/>
    </row>
    <row r="13" spans="1:21" s="68" customFormat="1" ht="13.5" thickBot="1">
      <c r="A13" s="1" t="s">
        <v>53</v>
      </c>
      <c r="B13" s="65" t="s">
        <v>80</v>
      </c>
      <c r="C13" s="85">
        <f>+D13/'Meta Corte Hosp'!P29</f>
        <v>0.31385267232473296</v>
      </c>
      <c r="D13" s="88">
        <f t="shared" si="0"/>
        <v>0.06637984019668101</v>
      </c>
      <c r="E13" s="77">
        <v>25</v>
      </c>
      <c r="F13" s="77">
        <v>52</v>
      </c>
      <c r="G13" s="77">
        <v>69</v>
      </c>
      <c r="H13" s="77">
        <v>43</v>
      </c>
      <c r="I13" s="77"/>
      <c r="J13" s="77"/>
      <c r="K13" s="77"/>
      <c r="L13" s="77"/>
      <c r="M13" s="77"/>
      <c r="N13" s="77"/>
      <c r="O13" s="77"/>
      <c r="P13" s="77"/>
      <c r="Q13" s="10">
        <f t="shared" si="1"/>
        <v>189</v>
      </c>
      <c r="R13" s="194">
        <f>11389/4</f>
        <v>2847.25</v>
      </c>
      <c r="S13" s="195"/>
      <c r="U13" s="75"/>
    </row>
    <row r="14" spans="1:21" s="68" customFormat="1" ht="13.5" thickBot="1">
      <c r="A14" s="1" t="s">
        <v>54</v>
      </c>
      <c r="B14" s="65" t="s">
        <v>81</v>
      </c>
      <c r="C14" s="85">
        <f>+D14/'Meta Corte Hosp'!P30</f>
        <v>0.8832904401448174</v>
      </c>
      <c r="D14" s="88">
        <f t="shared" si="0"/>
        <v>0.10731978847759532</v>
      </c>
      <c r="E14" s="77">
        <v>88</v>
      </c>
      <c r="F14" s="77">
        <v>119</v>
      </c>
      <c r="G14" s="77">
        <v>145</v>
      </c>
      <c r="H14" s="77">
        <v>130</v>
      </c>
      <c r="I14" s="77"/>
      <c r="J14" s="77"/>
      <c r="K14" s="77"/>
      <c r="L14" s="77"/>
      <c r="M14" s="77"/>
      <c r="N14" s="77"/>
      <c r="O14" s="77"/>
      <c r="P14" s="77"/>
      <c r="Q14" s="10">
        <f t="shared" si="1"/>
        <v>482</v>
      </c>
      <c r="R14" s="194">
        <f>17965/4</f>
        <v>4491.25</v>
      </c>
      <c r="S14" s="195"/>
      <c r="U14" s="75"/>
    </row>
    <row r="15" spans="1:21" s="68" customFormat="1" ht="13.5" thickBot="1">
      <c r="A15" s="1" t="s">
        <v>55</v>
      </c>
      <c r="B15" s="65" t="s">
        <v>82</v>
      </c>
      <c r="C15" s="85">
        <f>+D15/'Meta Corte Hosp'!P31</f>
        <v>0.72596121169</v>
      </c>
      <c r="D15" s="88">
        <f t="shared" si="0"/>
        <v>0.11760571629378001</v>
      </c>
      <c r="E15" s="77">
        <v>22</v>
      </c>
      <c r="F15" s="77">
        <v>59</v>
      </c>
      <c r="G15" s="77">
        <v>114</v>
      </c>
      <c r="H15" s="77">
        <v>56</v>
      </c>
      <c r="I15" s="77"/>
      <c r="J15" s="77"/>
      <c r="K15" s="77"/>
      <c r="L15" s="77"/>
      <c r="M15" s="77"/>
      <c r="N15" s="77"/>
      <c r="O15" s="77"/>
      <c r="P15" s="77"/>
      <c r="Q15" s="10">
        <f t="shared" si="1"/>
        <v>251</v>
      </c>
      <c r="R15" s="194">
        <f>8537/4</f>
        <v>2134.25</v>
      </c>
      <c r="S15" s="195"/>
      <c r="U15" s="75"/>
    </row>
    <row r="16" spans="1:21" s="68" customFormat="1" ht="13.5" thickBot="1">
      <c r="A16" s="1" t="s">
        <v>56</v>
      </c>
      <c r="B16" s="65" t="s">
        <v>83</v>
      </c>
      <c r="C16" s="85">
        <f>+D16/'Meta Corte Hosp'!P32</f>
        <v>0.27552588353732843</v>
      </c>
      <c r="D16" s="88">
        <f t="shared" si="0"/>
        <v>0.03347639484978541</v>
      </c>
      <c r="E16" s="77">
        <v>11</v>
      </c>
      <c r="F16" s="77">
        <v>26</v>
      </c>
      <c r="G16" s="77">
        <v>18</v>
      </c>
      <c r="H16" s="77">
        <v>23</v>
      </c>
      <c r="I16" s="77"/>
      <c r="J16" s="77"/>
      <c r="K16" s="77"/>
      <c r="L16" s="77"/>
      <c r="M16" s="77"/>
      <c r="N16" s="77"/>
      <c r="O16" s="77"/>
      <c r="P16" s="77"/>
      <c r="Q16" s="10">
        <f t="shared" si="1"/>
        <v>78</v>
      </c>
      <c r="R16" s="194">
        <f>9320/4</f>
        <v>2330</v>
      </c>
      <c r="S16" s="195"/>
      <c r="U16" s="75"/>
    </row>
    <row r="17" spans="1:21" s="68" customFormat="1" ht="15.75" customHeight="1" thickBot="1">
      <c r="A17" s="1" t="s">
        <v>57</v>
      </c>
      <c r="B17" s="65" t="s">
        <v>84</v>
      </c>
      <c r="C17" s="85">
        <f>+D17/'Meta Corte Hosp'!P33</f>
        <v>1.4497691242669606</v>
      </c>
      <c r="D17" s="89">
        <f t="shared" si="0"/>
        <v>0.18919487071683835</v>
      </c>
      <c r="E17" s="77">
        <v>60</v>
      </c>
      <c r="F17" s="77">
        <v>59</v>
      </c>
      <c r="G17" s="77">
        <v>59</v>
      </c>
      <c r="H17" s="77">
        <v>47</v>
      </c>
      <c r="I17" s="77"/>
      <c r="J17" s="77"/>
      <c r="K17" s="77"/>
      <c r="L17" s="77"/>
      <c r="M17" s="77"/>
      <c r="N17" s="77"/>
      <c r="O17" s="77"/>
      <c r="P17" s="77"/>
      <c r="Q17" s="10">
        <f t="shared" si="1"/>
        <v>225</v>
      </c>
      <c r="R17" s="194">
        <f>4757/4</f>
        <v>1189.25</v>
      </c>
      <c r="S17" s="195"/>
      <c r="U17" s="75"/>
    </row>
    <row r="18" spans="1:19" s="68" customFormat="1" ht="13.5" thickBot="1">
      <c r="A18" s="1"/>
      <c r="B18" s="69" t="s">
        <v>85</v>
      </c>
      <c r="C18" s="65"/>
      <c r="D18" s="65"/>
      <c r="E18" s="81">
        <f>SUM(E12:E17)</f>
        <v>352</v>
      </c>
      <c r="F18" s="81">
        <f aca="true" t="shared" si="2" ref="F18:Q18">SUM(F12:F17)</f>
        <v>464</v>
      </c>
      <c r="G18" s="81">
        <f t="shared" si="2"/>
        <v>561</v>
      </c>
      <c r="H18" s="81">
        <f t="shared" si="2"/>
        <v>477</v>
      </c>
      <c r="I18" s="81">
        <f t="shared" si="2"/>
        <v>0</v>
      </c>
      <c r="J18" s="81">
        <f t="shared" si="2"/>
        <v>0</v>
      </c>
      <c r="K18" s="81">
        <f t="shared" si="2"/>
        <v>0</v>
      </c>
      <c r="L18" s="81">
        <f t="shared" si="2"/>
        <v>0</v>
      </c>
      <c r="M18" s="81">
        <f t="shared" si="2"/>
        <v>0</v>
      </c>
      <c r="N18" s="81">
        <f t="shared" si="2"/>
        <v>0</v>
      </c>
      <c r="O18" s="81">
        <f t="shared" si="2"/>
        <v>0</v>
      </c>
      <c r="P18" s="81">
        <f t="shared" si="2"/>
        <v>0</v>
      </c>
      <c r="Q18" s="81">
        <f t="shared" si="2"/>
        <v>1854</v>
      </c>
      <c r="R18" s="242">
        <f>SUM(R12:S17)</f>
        <v>14724</v>
      </c>
      <c r="S18" s="242"/>
    </row>
    <row r="20" ht="15">
      <c r="B20" s="15"/>
    </row>
  </sheetData>
  <sheetProtection/>
  <mergeCells count="16">
    <mergeCell ref="R18:S18"/>
    <mergeCell ref="R12:S12"/>
    <mergeCell ref="R13:S13"/>
    <mergeCell ref="R14:S14"/>
    <mergeCell ref="R15:S15"/>
    <mergeCell ref="R16:S16"/>
    <mergeCell ref="R17:S17"/>
    <mergeCell ref="A1:A10"/>
    <mergeCell ref="B1:B10"/>
    <mergeCell ref="E1:S1"/>
    <mergeCell ref="E2:Q9"/>
    <mergeCell ref="R2:S9"/>
    <mergeCell ref="E10:Q10"/>
    <mergeCell ref="R10:S11"/>
    <mergeCell ref="D1:D10"/>
    <mergeCell ref="C1:C1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T23"/>
  <sheetViews>
    <sheetView zoomScalePageLayoutView="0" workbookViewId="0" topLeftCell="A1">
      <pane xSplit="2" ySplit="11" topLeftCell="R12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AJ25" sqref="AJ25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9.57421875" style="0" bestFit="1" customWidth="1"/>
    <col min="5" max="6" width="9.57421875" style="21" customWidth="1"/>
    <col min="7" max="7" width="10.8515625" style="16" customWidth="1"/>
    <col min="8" max="8" width="9.28125" style="21" customWidth="1"/>
    <col min="9" max="9" width="9.421875" style="21" customWidth="1"/>
    <col min="10" max="10" width="9.00390625" style="21" bestFit="1" customWidth="1"/>
    <col min="11" max="11" width="9.57421875" style="21" bestFit="1" customWidth="1"/>
    <col min="12" max="12" width="8.8515625" style="21" bestFit="1" customWidth="1"/>
    <col min="13" max="13" width="6.8515625" style="21" bestFit="1" customWidth="1"/>
    <col min="14" max="14" width="5.7109375" style="21" bestFit="1" customWidth="1"/>
    <col min="15" max="15" width="5.8515625" style="21" bestFit="1" customWidth="1"/>
    <col min="16" max="16" width="5.7109375" style="21" bestFit="1" customWidth="1"/>
    <col min="17" max="17" width="5.8515625" style="21" bestFit="1" customWidth="1"/>
    <col min="18" max="18" width="8.140625" style="21" bestFit="1" customWidth="1"/>
    <col min="19" max="19" width="7.421875" style="21" bestFit="1" customWidth="1"/>
    <col min="20" max="20" width="7.57421875" style="21" bestFit="1" customWidth="1"/>
    <col min="21" max="21" width="7.7109375" style="21" bestFit="1" customWidth="1"/>
    <col min="22" max="22" width="6.8515625" style="21" bestFit="1" customWidth="1"/>
    <col min="23" max="23" width="8.00390625" style="21" customWidth="1"/>
    <col min="24" max="24" width="9.57421875" style="21" bestFit="1" customWidth="1"/>
    <col min="25" max="25" width="7.00390625" style="21" bestFit="1" customWidth="1"/>
    <col min="26" max="26" width="5.8515625" style="21" bestFit="1" customWidth="1"/>
    <col min="27" max="30" width="5.28125" style="21" bestFit="1" customWidth="1"/>
    <col min="31" max="31" width="6.421875" style="21" bestFit="1" customWidth="1"/>
    <col min="32" max="32" width="5.8515625" style="21" bestFit="1" customWidth="1"/>
    <col min="33" max="33" width="6.140625" style="21" bestFit="1" customWidth="1"/>
    <col min="34" max="34" width="6.421875" style="21" bestFit="1" customWidth="1"/>
    <col min="35" max="35" width="5.8515625" style="21" bestFit="1" customWidth="1"/>
    <col min="36" max="36" width="7.28125" style="21" customWidth="1"/>
    <col min="37" max="37" width="12.8515625" style="21" customWidth="1"/>
    <col min="38" max="39" width="16.7109375" style="21" bestFit="1" customWidth="1"/>
  </cols>
  <sheetData>
    <row r="1" spans="1:39" ht="73.5" customHeight="1" thickBot="1" thickTop="1">
      <c r="A1" s="173" t="s">
        <v>0</v>
      </c>
      <c r="B1" s="167" t="s">
        <v>1</v>
      </c>
      <c r="C1" s="167" t="s">
        <v>63</v>
      </c>
      <c r="D1" s="190" t="s">
        <v>60</v>
      </c>
      <c r="E1" s="228" t="s">
        <v>69</v>
      </c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30"/>
    </row>
    <row r="2" spans="1:39" ht="15" customHeight="1" thickTop="1">
      <c r="A2" s="174"/>
      <c r="B2" s="177"/>
      <c r="C2" s="168"/>
      <c r="D2" s="191"/>
      <c r="E2" s="231" t="s">
        <v>3</v>
      </c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3"/>
      <c r="AK2" s="207" t="s">
        <v>4</v>
      </c>
      <c r="AL2" s="207"/>
      <c r="AM2" s="211"/>
    </row>
    <row r="3" spans="1:39" ht="15" customHeight="1">
      <c r="A3" s="174"/>
      <c r="B3" s="177"/>
      <c r="C3" s="168"/>
      <c r="D3" s="191"/>
      <c r="E3" s="216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34"/>
      <c r="AK3" s="207"/>
      <c r="AL3" s="207"/>
      <c r="AM3" s="211"/>
    </row>
    <row r="4" spans="1:39" ht="15" customHeight="1">
      <c r="A4" s="174"/>
      <c r="B4" s="177"/>
      <c r="C4" s="168"/>
      <c r="D4" s="191"/>
      <c r="E4" s="216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34"/>
      <c r="AK4" s="207"/>
      <c r="AL4" s="207"/>
      <c r="AM4" s="211"/>
    </row>
    <row r="5" spans="1:39" ht="15" customHeight="1">
      <c r="A5" s="174"/>
      <c r="B5" s="177"/>
      <c r="C5" s="168"/>
      <c r="D5" s="191"/>
      <c r="E5" s="216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34"/>
      <c r="AK5" s="207"/>
      <c r="AL5" s="207"/>
      <c r="AM5" s="211"/>
    </row>
    <row r="6" spans="1:39" ht="15" customHeight="1">
      <c r="A6" s="174"/>
      <c r="B6" s="177"/>
      <c r="C6" s="168"/>
      <c r="D6" s="191"/>
      <c r="E6" s="216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34"/>
      <c r="AK6" s="207"/>
      <c r="AL6" s="207"/>
      <c r="AM6" s="211"/>
    </row>
    <row r="7" spans="1:39" ht="15" customHeight="1">
      <c r="A7" s="174"/>
      <c r="B7" s="177"/>
      <c r="C7" s="168"/>
      <c r="D7" s="191"/>
      <c r="E7" s="216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34"/>
      <c r="AK7" s="207"/>
      <c r="AL7" s="207"/>
      <c r="AM7" s="211"/>
    </row>
    <row r="8" spans="1:39" ht="15" customHeight="1">
      <c r="A8" s="174"/>
      <c r="B8" s="177"/>
      <c r="C8" s="168"/>
      <c r="D8" s="191"/>
      <c r="E8" s="216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34"/>
      <c r="AK8" s="207"/>
      <c r="AL8" s="207"/>
      <c r="AM8" s="211"/>
    </row>
    <row r="9" spans="1:39" ht="15.75" customHeight="1" thickBot="1">
      <c r="A9" s="174"/>
      <c r="B9" s="177"/>
      <c r="C9" s="168"/>
      <c r="D9" s="191"/>
      <c r="E9" s="217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35"/>
      <c r="AK9" s="209"/>
      <c r="AL9" s="209"/>
      <c r="AM9" s="212"/>
    </row>
    <row r="10" spans="1:39" ht="57.75" customHeight="1" thickBot="1" thickTop="1">
      <c r="A10" s="175"/>
      <c r="B10" s="169"/>
      <c r="C10" s="168"/>
      <c r="D10" s="192"/>
      <c r="E10" s="221" t="s">
        <v>70</v>
      </c>
      <c r="F10" s="222"/>
      <c r="G10" s="222"/>
      <c r="H10" s="222"/>
      <c r="I10" s="222"/>
      <c r="J10" s="223"/>
      <c r="K10" s="213" t="s">
        <v>71</v>
      </c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4" t="s">
        <v>77</v>
      </c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26" t="s">
        <v>72</v>
      </c>
      <c r="AL10" s="226" t="s">
        <v>132</v>
      </c>
      <c r="AM10" s="226" t="s">
        <v>133</v>
      </c>
    </row>
    <row r="11" spans="1:39" ht="24" thickBot="1">
      <c r="A11" s="104"/>
      <c r="B11" s="104"/>
      <c r="C11" s="169"/>
      <c r="D11" s="104" t="s">
        <v>61</v>
      </c>
      <c r="E11" s="105" t="s">
        <v>134</v>
      </c>
      <c r="F11" s="106" t="s">
        <v>75</v>
      </c>
      <c r="G11" s="105" t="s">
        <v>20</v>
      </c>
      <c r="H11" s="106" t="s">
        <v>23</v>
      </c>
      <c r="I11" s="106" t="s">
        <v>25</v>
      </c>
      <c r="J11" s="106" t="s">
        <v>24</v>
      </c>
      <c r="K11" s="105" t="s">
        <v>7</v>
      </c>
      <c r="L11" s="105" t="s">
        <v>8</v>
      </c>
      <c r="M11" s="105" t="s">
        <v>9</v>
      </c>
      <c r="N11" s="105" t="s">
        <v>10</v>
      </c>
      <c r="O11" s="105" t="s">
        <v>11</v>
      </c>
      <c r="P11" s="105" t="s">
        <v>12</v>
      </c>
      <c r="Q11" s="105" t="s">
        <v>13</v>
      </c>
      <c r="R11" s="105" t="s">
        <v>14</v>
      </c>
      <c r="S11" s="105" t="s">
        <v>15</v>
      </c>
      <c r="T11" s="105" t="s">
        <v>16</v>
      </c>
      <c r="U11" s="105" t="s">
        <v>17</v>
      </c>
      <c r="V11" s="105" t="s">
        <v>18</v>
      </c>
      <c r="W11" s="105" t="s">
        <v>19</v>
      </c>
      <c r="X11" s="105" t="s">
        <v>7</v>
      </c>
      <c r="Y11" s="105" t="s">
        <v>8</v>
      </c>
      <c r="Z11" s="105" t="s">
        <v>9</v>
      </c>
      <c r="AA11" s="105" t="s">
        <v>10</v>
      </c>
      <c r="AB11" s="105" t="s">
        <v>11</v>
      </c>
      <c r="AC11" s="105" t="s">
        <v>12</v>
      </c>
      <c r="AD11" s="105" t="s">
        <v>13</v>
      </c>
      <c r="AE11" s="105" t="s">
        <v>14</v>
      </c>
      <c r="AF11" s="105" t="s">
        <v>15</v>
      </c>
      <c r="AG11" s="105" t="s">
        <v>16</v>
      </c>
      <c r="AH11" s="105" t="s">
        <v>17</v>
      </c>
      <c r="AI11" s="105" t="s">
        <v>18</v>
      </c>
      <c r="AJ11" s="106" t="s">
        <v>19</v>
      </c>
      <c r="AK11" s="227"/>
      <c r="AL11" s="227"/>
      <c r="AM11" s="227"/>
    </row>
    <row r="12" spans="1:46" s="68" customFormat="1" ht="13.5" thickBot="1">
      <c r="A12" s="1" t="s">
        <v>78</v>
      </c>
      <c r="B12" s="65" t="s">
        <v>79</v>
      </c>
      <c r="C12" s="85">
        <f>+D12/'Meta Corte Hosp'!Q28</f>
        <v>0.9769875034416604</v>
      </c>
      <c r="D12" s="90">
        <f>+G12/AK12</f>
        <v>0.2491318133776234</v>
      </c>
      <c r="E12" s="10">
        <v>254</v>
      </c>
      <c r="F12" s="17">
        <f aca="true" t="shared" si="0" ref="F12:F17">+E12+(K12+L12+M12)-(X12+Y12+Z12)</f>
        <v>227</v>
      </c>
      <c r="G12" s="10">
        <f aca="true" t="shared" si="1" ref="G12:G17">+E12+(K12+L12+M12+N12+O12)-(X12+Y12+Z12+AA12+AB12)</f>
        <v>231</v>
      </c>
      <c r="H12" s="91"/>
      <c r="I12" s="91"/>
      <c r="J12" s="96"/>
      <c r="K12" s="19">
        <v>3</v>
      </c>
      <c r="L12" s="19"/>
      <c r="M12" s="19">
        <v>1</v>
      </c>
      <c r="N12" s="19">
        <v>4</v>
      </c>
      <c r="O12" s="19"/>
      <c r="P12" s="19"/>
      <c r="Q12" s="19"/>
      <c r="R12" s="19"/>
      <c r="S12" s="19"/>
      <c r="T12" s="20"/>
      <c r="U12" s="19"/>
      <c r="V12" s="19"/>
      <c r="W12" s="10">
        <f aca="true" t="shared" si="2" ref="W12:W17">SUM(K12:V12)</f>
        <v>8</v>
      </c>
      <c r="X12" s="19">
        <v>30</v>
      </c>
      <c r="Y12" s="19"/>
      <c r="Z12" s="19">
        <v>1</v>
      </c>
      <c r="AA12" s="19"/>
      <c r="AB12" s="19"/>
      <c r="AC12" s="19"/>
      <c r="AD12" s="19"/>
      <c r="AE12" s="19"/>
      <c r="AF12" s="19"/>
      <c r="AG12" s="19"/>
      <c r="AH12" s="19"/>
      <c r="AI12" s="19"/>
      <c r="AJ12" s="10">
        <f aca="true" t="shared" si="3" ref="AJ12:AJ17">SUM(X12:AI12)</f>
        <v>31</v>
      </c>
      <c r="AK12" s="77">
        <f aca="true" t="shared" si="4" ref="AK12:AK17">+AL12+AM12</f>
        <v>927.22</v>
      </c>
      <c r="AL12" s="77">
        <f>6641*0.1</f>
        <v>664.1</v>
      </c>
      <c r="AM12" s="77">
        <f>3289*0.08</f>
        <v>263.12</v>
      </c>
      <c r="AN12" s="75"/>
      <c r="AO12" s="75"/>
      <c r="AQ12" s="75"/>
      <c r="AR12" s="75"/>
      <c r="AT12" s="75"/>
    </row>
    <row r="13" spans="1:46" s="68" customFormat="1" ht="13.5" thickBot="1">
      <c r="A13" s="1" t="s">
        <v>53</v>
      </c>
      <c r="B13" s="65" t="s">
        <v>80</v>
      </c>
      <c r="C13" s="85">
        <f>+D13/'Meta Corte Hosp'!Q29</f>
        <v>1.0847907903475758</v>
      </c>
      <c r="D13" s="90">
        <f>+G13/AK13</f>
        <v>0.27119769758689394</v>
      </c>
      <c r="E13" s="10">
        <v>386</v>
      </c>
      <c r="F13" s="17">
        <f t="shared" si="0"/>
        <v>392</v>
      </c>
      <c r="G13" s="10">
        <f t="shared" si="1"/>
        <v>392</v>
      </c>
      <c r="H13" s="91"/>
      <c r="I13" s="91"/>
      <c r="J13" s="96"/>
      <c r="K13" s="19">
        <v>2</v>
      </c>
      <c r="L13" s="19">
        <v>1</v>
      </c>
      <c r="M13" s="19">
        <v>3</v>
      </c>
      <c r="N13" s="19"/>
      <c r="O13" s="19"/>
      <c r="P13" s="19"/>
      <c r="Q13" s="19"/>
      <c r="R13" s="19"/>
      <c r="S13" s="19"/>
      <c r="T13" s="20"/>
      <c r="U13" s="19"/>
      <c r="V13" s="19"/>
      <c r="W13" s="10">
        <f t="shared" si="2"/>
        <v>6</v>
      </c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0">
        <f t="shared" si="3"/>
        <v>0</v>
      </c>
      <c r="AK13" s="77">
        <f t="shared" si="4"/>
        <v>1445.44</v>
      </c>
      <c r="AL13" s="77">
        <f>10836*0.1</f>
        <v>1083.6000000000001</v>
      </c>
      <c r="AM13" s="77">
        <f>4523*0.08</f>
        <v>361.84000000000003</v>
      </c>
      <c r="AN13" s="75"/>
      <c r="AO13" s="75"/>
      <c r="AQ13" s="75"/>
      <c r="AR13" s="75"/>
      <c r="AT13" s="75"/>
    </row>
    <row r="14" spans="1:46" s="68" customFormat="1" ht="13.5" thickBot="1">
      <c r="A14" s="1" t="s">
        <v>54</v>
      </c>
      <c r="B14" s="65" t="s">
        <v>81</v>
      </c>
      <c r="C14" s="85">
        <f>+D14/'Meta Corte Hosp'!Q30</f>
        <v>0.6863192925115701</v>
      </c>
      <c r="D14" s="90">
        <f>+G14/AK14</f>
        <v>0.11324268326440907</v>
      </c>
      <c r="E14" s="10">
        <v>256</v>
      </c>
      <c r="F14" s="17">
        <f t="shared" si="0"/>
        <v>269</v>
      </c>
      <c r="G14" s="10">
        <f t="shared" si="1"/>
        <v>270</v>
      </c>
      <c r="H14" s="91"/>
      <c r="I14" s="91"/>
      <c r="J14" s="96"/>
      <c r="K14" s="19">
        <v>3</v>
      </c>
      <c r="L14" s="19">
        <v>8</v>
      </c>
      <c r="M14" s="19">
        <v>2</v>
      </c>
      <c r="N14" s="19">
        <v>1</v>
      </c>
      <c r="O14" s="19"/>
      <c r="P14" s="19"/>
      <c r="Q14" s="19"/>
      <c r="R14" s="19"/>
      <c r="S14" s="19"/>
      <c r="T14" s="20"/>
      <c r="U14" s="19"/>
      <c r="V14" s="19"/>
      <c r="W14" s="10">
        <f t="shared" si="2"/>
        <v>14</v>
      </c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0">
        <f t="shared" si="3"/>
        <v>0</v>
      </c>
      <c r="AK14" s="77">
        <f t="shared" si="4"/>
        <v>2384.26</v>
      </c>
      <c r="AL14" s="77">
        <f>17253*0.1</f>
        <v>1725.3000000000002</v>
      </c>
      <c r="AM14" s="77">
        <f>8237*0.08</f>
        <v>658.96</v>
      </c>
      <c r="AN14" s="75"/>
      <c r="AO14" s="75"/>
      <c r="AQ14" s="75"/>
      <c r="AR14" s="75"/>
      <c r="AT14" s="75"/>
    </row>
    <row r="15" spans="1:46" s="68" customFormat="1" ht="13.5" thickBot="1">
      <c r="A15" s="1" t="s">
        <v>55</v>
      </c>
      <c r="B15" s="65" t="s">
        <v>82</v>
      </c>
      <c r="C15" s="85">
        <f>+D15/'Meta Corte Hosp'!Q31</f>
        <v>0.7675402407642157</v>
      </c>
      <c r="D15" s="90">
        <f>+G15/AK15</f>
        <v>0.15243349181577323</v>
      </c>
      <c r="E15" s="10">
        <v>154</v>
      </c>
      <c r="F15" s="17">
        <f t="shared" si="0"/>
        <v>160</v>
      </c>
      <c r="G15" s="10">
        <f t="shared" si="1"/>
        <v>168</v>
      </c>
      <c r="H15" s="91"/>
      <c r="I15" s="91"/>
      <c r="J15" s="96"/>
      <c r="K15" s="19"/>
      <c r="L15" s="19"/>
      <c r="M15" s="19">
        <v>6</v>
      </c>
      <c r="N15" s="19">
        <v>8</v>
      </c>
      <c r="O15" s="19"/>
      <c r="P15" s="19"/>
      <c r="Q15" s="19"/>
      <c r="R15" s="19"/>
      <c r="S15" s="19"/>
      <c r="T15" s="20"/>
      <c r="U15" s="19"/>
      <c r="V15" s="19"/>
      <c r="W15" s="10">
        <f t="shared" si="2"/>
        <v>14</v>
      </c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0">
        <f t="shared" si="3"/>
        <v>0</v>
      </c>
      <c r="AK15" s="77">
        <f t="shared" si="4"/>
        <v>1102.1200000000001</v>
      </c>
      <c r="AL15" s="77">
        <f>8174*0.1</f>
        <v>817.4000000000001</v>
      </c>
      <c r="AM15" s="77">
        <f>3559*0.08</f>
        <v>284.72</v>
      </c>
      <c r="AN15" s="75"/>
      <c r="AO15" s="75"/>
      <c r="AQ15" s="75"/>
      <c r="AR15" s="75"/>
      <c r="AT15" s="75"/>
    </row>
    <row r="16" spans="1:46" s="68" customFormat="1" ht="13.5" thickBot="1">
      <c r="A16" s="1" t="s">
        <v>56</v>
      </c>
      <c r="B16" s="65" t="s">
        <v>83</v>
      </c>
      <c r="C16" s="85">
        <f>+D16/'Meta Corte Hosp'!Q32</f>
        <v>1.4301175015460728</v>
      </c>
      <c r="D16" s="90">
        <f>+G16/AK16</f>
        <v>0.235969387755102</v>
      </c>
      <c r="E16" s="10">
        <v>284</v>
      </c>
      <c r="F16" s="17">
        <f t="shared" si="0"/>
        <v>295</v>
      </c>
      <c r="G16" s="10">
        <f t="shared" si="1"/>
        <v>296</v>
      </c>
      <c r="H16" s="91"/>
      <c r="I16" s="91"/>
      <c r="J16" s="96"/>
      <c r="K16" s="19">
        <v>5</v>
      </c>
      <c r="L16" s="19">
        <v>2</v>
      </c>
      <c r="M16" s="19">
        <v>5</v>
      </c>
      <c r="N16" s="19">
        <v>2</v>
      </c>
      <c r="O16" s="19"/>
      <c r="P16" s="19"/>
      <c r="Q16" s="19"/>
      <c r="R16" s="19"/>
      <c r="S16" s="19"/>
      <c r="T16" s="20"/>
      <c r="U16" s="19"/>
      <c r="V16" s="19"/>
      <c r="W16" s="10">
        <f t="shared" si="2"/>
        <v>14</v>
      </c>
      <c r="X16" s="19"/>
      <c r="Y16" s="19"/>
      <c r="Z16" s="19">
        <v>1</v>
      </c>
      <c r="AA16" s="19">
        <v>1</v>
      </c>
      <c r="AB16" s="19"/>
      <c r="AC16" s="19"/>
      <c r="AD16" s="19"/>
      <c r="AE16" s="19"/>
      <c r="AF16" s="19"/>
      <c r="AG16" s="19"/>
      <c r="AH16" s="19"/>
      <c r="AI16" s="19"/>
      <c r="AJ16" s="10">
        <f t="shared" si="3"/>
        <v>2</v>
      </c>
      <c r="AK16" s="77">
        <f t="shared" si="4"/>
        <v>1254.4</v>
      </c>
      <c r="AL16" s="77">
        <f>8960*0.1</f>
        <v>896</v>
      </c>
      <c r="AM16" s="77">
        <f>4480*0.08</f>
        <v>358.40000000000003</v>
      </c>
      <c r="AN16" s="75"/>
      <c r="AO16" s="75"/>
      <c r="AQ16" s="75"/>
      <c r="AR16" s="75"/>
      <c r="AT16" s="75"/>
    </row>
    <row r="17" spans="1:46" s="68" customFormat="1" ht="15.75" customHeight="1" thickBot="1">
      <c r="A17" s="1" t="s">
        <v>57</v>
      </c>
      <c r="B17" s="65" t="s">
        <v>84</v>
      </c>
      <c r="C17" s="85">
        <f>+D17/'Meta Corte Hosp'!Q33</f>
        <v>1.060944981660476</v>
      </c>
      <c r="D17" s="90">
        <f>+G17/AK17</f>
        <v>0.21945646945646946</v>
      </c>
      <c r="E17" s="10">
        <v>137</v>
      </c>
      <c r="F17" s="17">
        <f t="shared" si="0"/>
        <v>142</v>
      </c>
      <c r="G17" s="10">
        <f t="shared" si="1"/>
        <v>146</v>
      </c>
      <c r="H17" s="91"/>
      <c r="I17" s="91"/>
      <c r="J17" s="96"/>
      <c r="K17" s="19">
        <v>4</v>
      </c>
      <c r="L17" s="19"/>
      <c r="M17" s="19">
        <v>4</v>
      </c>
      <c r="N17" s="19">
        <v>4</v>
      </c>
      <c r="O17" s="19"/>
      <c r="P17" s="19"/>
      <c r="Q17" s="19"/>
      <c r="R17" s="19"/>
      <c r="S17" s="19"/>
      <c r="T17" s="20"/>
      <c r="U17" s="19"/>
      <c r="V17" s="19"/>
      <c r="W17" s="10">
        <f t="shared" si="2"/>
        <v>12</v>
      </c>
      <c r="X17" s="19">
        <v>1</v>
      </c>
      <c r="Y17" s="19">
        <v>1</v>
      </c>
      <c r="Z17" s="19">
        <v>1</v>
      </c>
      <c r="AA17" s="19"/>
      <c r="AB17" s="19"/>
      <c r="AC17" s="19"/>
      <c r="AD17" s="19"/>
      <c r="AE17" s="19"/>
      <c r="AF17" s="19"/>
      <c r="AG17" s="19"/>
      <c r="AH17" s="19"/>
      <c r="AI17" s="19"/>
      <c r="AJ17" s="10">
        <f t="shared" si="3"/>
        <v>3</v>
      </c>
      <c r="AK17" s="77">
        <f t="shared" si="4"/>
        <v>665.28</v>
      </c>
      <c r="AL17" s="77">
        <f>4596*0.1</f>
        <v>459.6</v>
      </c>
      <c r="AM17" s="77">
        <f>2571*0.08</f>
        <v>205.68</v>
      </c>
      <c r="AN17" s="75"/>
      <c r="AO17" s="75"/>
      <c r="AQ17" s="75"/>
      <c r="AR17" s="75"/>
      <c r="AT17" s="75"/>
    </row>
    <row r="18" spans="1:39" s="67" customFormat="1" ht="13.5" thickBot="1">
      <c r="A18" s="73"/>
      <c r="B18" s="69" t="s">
        <v>85</v>
      </c>
      <c r="C18" s="79"/>
      <c r="D18" s="79"/>
      <c r="E18" s="22">
        <f>SUM(E12:E17)</f>
        <v>1471</v>
      </c>
      <c r="F18" s="22">
        <f aca="true" t="shared" si="5" ref="F18:AD18">SUM(F12:F17)</f>
        <v>1485</v>
      </c>
      <c r="G18" s="22">
        <f>SUM(G12:G17)</f>
        <v>1503</v>
      </c>
      <c r="H18" s="22">
        <f t="shared" si="5"/>
        <v>0</v>
      </c>
      <c r="I18" s="22">
        <f>SUM(I12:I17)</f>
        <v>0</v>
      </c>
      <c r="J18" s="22">
        <f>SUM(J12:J17)</f>
        <v>0</v>
      </c>
      <c r="K18" s="22">
        <f t="shared" si="5"/>
        <v>17</v>
      </c>
      <c r="L18" s="22">
        <f t="shared" si="5"/>
        <v>11</v>
      </c>
      <c r="M18" s="22">
        <f t="shared" si="5"/>
        <v>21</v>
      </c>
      <c r="N18" s="22">
        <f t="shared" si="5"/>
        <v>19</v>
      </c>
      <c r="O18" s="22">
        <f t="shared" si="5"/>
        <v>0</v>
      </c>
      <c r="P18" s="22">
        <f t="shared" si="5"/>
        <v>0</v>
      </c>
      <c r="Q18" s="22">
        <f t="shared" si="5"/>
        <v>0</v>
      </c>
      <c r="R18" s="22">
        <f t="shared" si="5"/>
        <v>0</v>
      </c>
      <c r="S18" s="22">
        <f t="shared" si="5"/>
        <v>0</v>
      </c>
      <c r="T18" s="22">
        <f t="shared" si="5"/>
        <v>0</v>
      </c>
      <c r="U18" s="22">
        <f t="shared" si="5"/>
        <v>0</v>
      </c>
      <c r="V18" s="22">
        <f t="shared" si="5"/>
        <v>0</v>
      </c>
      <c r="W18" s="22">
        <f t="shared" si="5"/>
        <v>68</v>
      </c>
      <c r="X18" s="22">
        <f t="shared" si="5"/>
        <v>31</v>
      </c>
      <c r="Y18" s="22">
        <f t="shared" si="5"/>
        <v>1</v>
      </c>
      <c r="Z18" s="22">
        <f t="shared" si="5"/>
        <v>3</v>
      </c>
      <c r="AA18" s="22">
        <f t="shared" si="5"/>
        <v>1</v>
      </c>
      <c r="AB18" s="22">
        <f t="shared" si="5"/>
        <v>0</v>
      </c>
      <c r="AC18" s="22">
        <f t="shared" si="5"/>
        <v>0</v>
      </c>
      <c r="AD18" s="22">
        <f t="shared" si="5"/>
        <v>0</v>
      </c>
      <c r="AE18" s="22">
        <f aca="true" t="shared" si="6" ref="AE18:AM18">SUM(AE12:AE17)</f>
        <v>0</v>
      </c>
      <c r="AF18" s="22">
        <f t="shared" si="6"/>
        <v>0</v>
      </c>
      <c r="AG18" s="22">
        <f t="shared" si="6"/>
        <v>0</v>
      </c>
      <c r="AH18" s="22">
        <f t="shared" si="6"/>
        <v>0</v>
      </c>
      <c r="AI18" s="22">
        <f t="shared" si="6"/>
        <v>0</v>
      </c>
      <c r="AJ18" s="22">
        <f t="shared" si="6"/>
        <v>36</v>
      </c>
      <c r="AK18" s="22">
        <f>SUM(AK12:AK17)</f>
        <v>7778.72</v>
      </c>
      <c r="AL18" s="22">
        <f t="shared" si="6"/>
        <v>5646.000000000001</v>
      </c>
      <c r="AM18" s="22">
        <f t="shared" si="6"/>
        <v>2132.7200000000003</v>
      </c>
    </row>
    <row r="20" ht="15">
      <c r="W20" s="103"/>
    </row>
    <row r="21" spans="23:26" ht="15">
      <c r="W21" s="103"/>
      <c r="Y21" s="103"/>
      <c r="Z21" s="103"/>
    </row>
    <row r="22" ht="15">
      <c r="W22" s="103"/>
    </row>
    <row r="23" ht="15">
      <c r="W23" s="103"/>
    </row>
  </sheetData>
  <sheetProtection/>
  <mergeCells count="13">
    <mergeCell ref="E1:AM1"/>
    <mergeCell ref="A1:A10"/>
    <mergeCell ref="B1:B10"/>
    <mergeCell ref="C1:C11"/>
    <mergeCell ref="D1:D10"/>
    <mergeCell ref="E2:AJ9"/>
    <mergeCell ref="E10:J10"/>
    <mergeCell ref="AK2:AM9"/>
    <mergeCell ref="K10:W10"/>
    <mergeCell ref="X10:AJ10"/>
    <mergeCell ref="AK10:AK11"/>
    <mergeCell ref="AL10:AL11"/>
    <mergeCell ref="AM10:AM1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18"/>
  <sheetViews>
    <sheetView zoomScalePageLayoutView="0" workbookViewId="0" topLeftCell="A1">
      <pane xSplit="2" ySplit="11" topLeftCell="P12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AK18" sqref="AK18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2.8515625" style="0" customWidth="1"/>
    <col min="5" max="6" width="9.57421875" style="21" customWidth="1"/>
    <col min="7" max="7" width="10.8515625" style="21" customWidth="1"/>
    <col min="8" max="8" width="9.28125" style="21" customWidth="1"/>
    <col min="9" max="9" width="9.421875" style="21" customWidth="1"/>
    <col min="10" max="10" width="7.140625" style="21" bestFit="1" customWidth="1"/>
    <col min="11" max="12" width="9.7109375" style="21" bestFit="1" customWidth="1"/>
    <col min="13" max="22" width="7.140625" style="21" bestFit="1" customWidth="1"/>
    <col min="23" max="23" width="8.00390625" style="21" customWidth="1"/>
    <col min="24" max="24" width="7.140625" style="21" bestFit="1" customWidth="1"/>
    <col min="25" max="25" width="7.00390625" style="21" bestFit="1" customWidth="1"/>
    <col min="26" max="35" width="7.140625" style="21" bestFit="1" customWidth="1"/>
    <col min="36" max="36" width="7.28125" style="21" customWidth="1"/>
    <col min="37" max="37" width="21.8515625" style="21" customWidth="1"/>
  </cols>
  <sheetData>
    <row r="1" spans="1:37" ht="73.5" customHeight="1" thickBot="1" thickTop="1">
      <c r="A1" s="173" t="s">
        <v>0</v>
      </c>
      <c r="B1" s="167" t="s">
        <v>1</v>
      </c>
      <c r="C1" s="167" t="s">
        <v>63</v>
      </c>
      <c r="D1" s="190" t="s">
        <v>60</v>
      </c>
      <c r="E1" s="240" t="s">
        <v>136</v>
      </c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</row>
    <row r="2" spans="1:37" ht="15" customHeight="1" thickTop="1">
      <c r="A2" s="174"/>
      <c r="B2" s="177"/>
      <c r="C2" s="168"/>
      <c r="D2" s="191"/>
      <c r="E2" s="231" t="s">
        <v>3</v>
      </c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3"/>
      <c r="AK2" s="205" t="s">
        <v>4</v>
      </c>
    </row>
    <row r="3" spans="1:37" ht="15" customHeight="1">
      <c r="A3" s="174"/>
      <c r="B3" s="177"/>
      <c r="C3" s="168"/>
      <c r="D3" s="191"/>
      <c r="E3" s="216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34"/>
      <c r="AK3" s="207"/>
    </row>
    <row r="4" spans="1:37" ht="15" customHeight="1">
      <c r="A4" s="174"/>
      <c r="B4" s="177"/>
      <c r="C4" s="168"/>
      <c r="D4" s="191"/>
      <c r="E4" s="216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34"/>
      <c r="AK4" s="207"/>
    </row>
    <row r="5" spans="1:37" ht="15" customHeight="1">
      <c r="A5" s="174"/>
      <c r="B5" s="177"/>
      <c r="C5" s="168"/>
      <c r="D5" s="191"/>
      <c r="E5" s="216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34"/>
      <c r="AK5" s="207"/>
    </row>
    <row r="6" spans="1:37" ht="15" customHeight="1">
      <c r="A6" s="174"/>
      <c r="B6" s="177"/>
      <c r="C6" s="168"/>
      <c r="D6" s="191"/>
      <c r="E6" s="216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34"/>
      <c r="AK6" s="207"/>
    </row>
    <row r="7" spans="1:37" ht="15" customHeight="1">
      <c r="A7" s="174"/>
      <c r="B7" s="177"/>
      <c r="C7" s="168"/>
      <c r="D7" s="191"/>
      <c r="E7" s="216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34"/>
      <c r="AK7" s="207"/>
    </row>
    <row r="8" spans="1:37" ht="15" customHeight="1">
      <c r="A8" s="174"/>
      <c r="B8" s="177"/>
      <c r="C8" s="168"/>
      <c r="D8" s="191"/>
      <c r="E8" s="216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34"/>
      <c r="AK8" s="207"/>
    </row>
    <row r="9" spans="1:37" ht="15.75" customHeight="1" thickBot="1">
      <c r="A9" s="174"/>
      <c r="B9" s="177"/>
      <c r="C9" s="168"/>
      <c r="D9" s="191"/>
      <c r="E9" s="217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35"/>
      <c r="AK9" s="209"/>
    </row>
    <row r="10" spans="1:37" ht="64.5" customHeight="1" thickBot="1" thickTop="1">
      <c r="A10" s="175"/>
      <c r="B10" s="169"/>
      <c r="C10" s="168"/>
      <c r="D10" s="192"/>
      <c r="E10" s="221" t="s">
        <v>137</v>
      </c>
      <c r="F10" s="222"/>
      <c r="G10" s="222"/>
      <c r="H10" s="222"/>
      <c r="I10" s="222"/>
      <c r="J10" s="223"/>
      <c r="K10" s="221" t="s">
        <v>138</v>
      </c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1" t="s">
        <v>139</v>
      </c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3"/>
      <c r="AK10" s="243" t="s">
        <v>140</v>
      </c>
    </row>
    <row r="11" spans="1:37" ht="20.25" customHeight="1" thickBot="1">
      <c r="A11" s="104"/>
      <c r="B11" s="104"/>
      <c r="C11" s="169"/>
      <c r="D11" s="104" t="s">
        <v>61</v>
      </c>
      <c r="E11" s="105" t="s">
        <v>134</v>
      </c>
      <c r="F11" s="106" t="s">
        <v>75</v>
      </c>
      <c r="G11" s="105" t="s">
        <v>20</v>
      </c>
      <c r="H11" s="106" t="s">
        <v>23</v>
      </c>
      <c r="I11" s="106" t="s">
        <v>25</v>
      </c>
      <c r="J11" s="106" t="s">
        <v>24</v>
      </c>
      <c r="K11" s="105" t="s">
        <v>7</v>
      </c>
      <c r="L11" s="105" t="s">
        <v>8</v>
      </c>
      <c r="M11" s="105" t="s">
        <v>9</v>
      </c>
      <c r="N11" s="105" t="s">
        <v>10</v>
      </c>
      <c r="O11" s="105" t="s">
        <v>11</v>
      </c>
      <c r="P11" s="105" t="s">
        <v>12</v>
      </c>
      <c r="Q11" s="105" t="s">
        <v>13</v>
      </c>
      <c r="R11" s="105" t="s">
        <v>14</v>
      </c>
      <c r="S11" s="105" t="s">
        <v>15</v>
      </c>
      <c r="T11" s="105" t="s">
        <v>16</v>
      </c>
      <c r="U11" s="105" t="s">
        <v>17</v>
      </c>
      <c r="V11" s="105" t="s">
        <v>18</v>
      </c>
      <c r="W11" s="105" t="s">
        <v>19</v>
      </c>
      <c r="X11" s="105" t="s">
        <v>7</v>
      </c>
      <c r="Y11" s="105" t="s">
        <v>8</v>
      </c>
      <c r="Z11" s="105" t="s">
        <v>9</v>
      </c>
      <c r="AA11" s="105" t="s">
        <v>10</v>
      </c>
      <c r="AB11" s="105" t="s">
        <v>11</v>
      </c>
      <c r="AC11" s="105" t="s">
        <v>12</v>
      </c>
      <c r="AD11" s="105" t="s">
        <v>13</v>
      </c>
      <c r="AE11" s="105" t="s">
        <v>14</v>
      </c>
      <c r="AF11" s="105" t="s">
        <v>15</v>
      </c>
      <c r="AG11" s="105" t="s">
        <v>16</v>
      </c>
      <c r="AH11" s="105" t="s">
        <v>17</v>
      </c>
      <c r="AI11" s="105" t="s">
        <v>18</v>
      </c>
      <c r="AJ11" s="106" t="s">
        <v>19</v>
      </c>
      <c r="AK11" s="227"/>
    </row>
    <row r="12" spans="1:37" s="68" customFormat="1" ht="13.5" thickBot="1">
      <c r="A12" s="1" t="s">
        <v>78</v>
      </c>
      <c r="B12" s="65" t="s">
        <v>79</v>
      </c>
      <c r="C12" s="85">
        <f>+D12/'Meta Corte Hosp'!R28</f>
        <v>1.765949508767566</v>
      </c>
      <c r="D12" s="90">
        <f aca="true" t="shared" si="0" ref="D12:D17">+G12/AK12</f>
        <v>0.30021141649048627</v>
      </c>
      <c r="E12" s="10">
        <v>500</v>
      </c>
      <c r="F12" s="17">
        <f aca="true" t="shared" si="1" ref="F12:F17">+E12+(K12+L12+M12)-(X12+Y12+Z12)</f>
        <v>446</v>
      </c>
      <c r="G12" s="10">
        <f aca="true" t="shared" si="2" ref="G12:G17">+E12+(K12+L12+M12+N12+O12)-(X12+Y12+Z12+AA12+AB12)</f>
        <v>426</v>
      </c>
      <c r="H12" s="18"/>
      <c r="I12" s="18"/>
      <c r="J12" s="98"/>
      <c r="K12" s="107">
        <v>25</v>
      </c>
      <c r="L12" s="107">
        <v>28</v>
      </c>
      <c r="M12" s="107">
        <v>36</v>
      </c>
      <c r="N12" s="107">
        <v>9</v>
      </c>
      <c r="O12" s="107"/>
      <c r="P12" s="107"/>
      <c r="Q12" s="107"/>
      <c r="R12" s="107"/>
      <c r="S12" s="107"/>
      <c r="T12" s="108"/>
      <c r="U12" s="107"/>
      <c r="V12" s="19"/>
      <c r="W12" s="10">
        <f aca="true" t="shared" si="3" ref="W12:W17">SUM(K12:V12)</f>
        <v>98</v>
      </c>
      <c r="X12" s="19">
        <v>74</v>
      </c>
      <c r="Y12" s="19">
        <v>30</v>
      </c>
      <c r="Z12" s="19">
        <v>39</v>
      </c>
      <c r="AA12" s="19">
        <v>29</v>
      </c>
      <c r="AB12" s="19"/>
      <c r="AC12" s="19"/>
      <c r="AD12" s="19"/>
      <c r="AE12" s="19"/>
      <c r="AF12" s="19"/>
      <c r="AG12" s="19"/>
      <c r="AH12" s="19"/>
      <c r="AI12" s="19"/>
      <c r="AJ12" s="10">
        <f aca="true" t="shared" si="4" ref="AJ12:AJ17">SUM(X12:AI12)</f>
        <v>172</v>
      </c>
      <c r="AK12" s="77">
        <f>6450*0.22</f>
        <v>1419</v>
      </c>
    </row>
    <row r="13" spans="1:37" s="68" customFormat="1" ht="13.5" thickBot="1">
      <c r="A13" s="1" t="s">
        <v>53</v>
      </c>
      <c r="B13" s="65" t="s">
        <v>80</v>
      </c>
      <c r="C13" s="85">
        <f>+D13/'Meta Corte Hosp'!R29</f>
        <v>1.9105846388995031</v>
      </c>
      <c r="D13" s="90">
        <f t="shared" si="0"/>
        <v>0.3247993886129156</v>
      </c>
      <c r="E13" s="10">
        <v>673</v>
      </c>
      <c r="F13" s="17">
        <f t="shared" si="1"/>
        <v>729</v>
      </c>
      <c r="G13" s="10">
        <f t="shared" si="2"/>
        <v>748</v>
      </c>
      <c r="H13" s="18"/>
      <c r="I13" s="18"/>
      <c r="J13" s="98"/>
      <c r="K13" s="107">
        <v>29</v>
      </c>
      <c r="L13" s="107">
        <v>19</v>
      </c>
      <c r="M13" s="107">
        <v>37</v>
      </c>
      <c r="N13" s="107">
        <v>37</v>
      </c>
      <c r="O13" s="107"/>
      <c r="P13" s="107"/>
      <c r="Q13" s="107"/>
      <c r="R13" s="107"/>
      <c r="S13" s="107"/>
      <c r="T13" s="108"/>
      <c r="U13" s="107"/>
      <c r="V13" s="19"/>
      <c r="W13" s="10">
        <f t="shared" si="3"/>
        <v>122</v>
      </c>
      <c r="X13" s="19">
        <v>8</v>
      </c>
      <c r="Y13" s="19">
        <v>14</v>
      </c>
      <c r="Z13" s="19">
        <v>7</v>
      </c>
      <c r="AA13" s="19">
        <v>18</v>
      </c>
      <c r="AB13" s="19"/>
      <c r="AC13" s="19"/>
      <c r="AD13" s="19"/>
      <c r="AE13" s="19"/>
      <c r="AF13" s="19"/>
      <c r="AG13" s="19"/>
      <c r="AH13" s="19"/>
      <c r="AI13" s="19"/>
      <c r="AJ13" s="10">
        <f t="shared" si="4"/>
        <v>47</v>
      </c>
      <c r="AK13" s="77">
        <f>10468*0.22</f>
        <v>2302.96</v>
      </c>
    </row>
    <row r="14" spans="1:37" s="68" customFormat="1" ht="13.5" thickBot="1">
      <c r="A14" s="1" t="s">
        <v>54</v>
      </c>
      <c r="B14" s="65" t="s">
        <v>81</v>
      </c>
      <c r="C14" s="85">
        <f>+D14/'Meta Corte Hosp'!R30</f>
        <v>0.44462349792158434</v>
      </c>
      <c r="D14" s="90">
        <f t="shared" si="0"/>
        <v>0.07558599464666935</v>
      </c>
      <c r="E14" s="10">
        <v>0</v>
      </c>
      <c r="F14" s="17">
        <f t="shared" si="1"/>
        <v>206</v>
      </c>
      <c r="G14" s="10">
        <f t="shared" si="2"/>
        <v>279</v>
      </c>
      <c r="H14" s="18"/>
      <c r="I14" s="18"/>
      <c r="J14" s="98"/>
      <c r="K14" s="107">
        <v>114</v>
      </c>
      <c r="L14" s="107"/>
      <c r="M14" s="107">
        <v>102</v>
      </c>
      <c r="N14" s="107">
        <v>73</v>
      </c>
      <c r="O14" s="107"/>
      <c r="P14" s="107"/>
      <c r="Q14" s="107"/>
      <c r="R14" s="107"/>
      <c r="S14" s="107"/>
      <c r="T14" s="108"/>
      <c r="U14" s="107"/>
      <c r="V14" s="19"/>
      <c r="W14" s="10">
        <f t="shared" si="3"/>
        <v>289</v>
      </c>
      <c r="X14" s="19"/>
      <c r="Y14" s="19"/>
      <c r="Z14" s="19">
        <v>10</v>
      </c>
      <c r="AA14" s="19"/>
      <c r="AB14" s="19"/>
      <c r="AC14" s="19"/>
      <c r="AD14" s="19"/>
      <c r="AE14" s="19"/>
      <c r="AF14" s="19"/>
      <c r="AG14" s="19"/>
      <c r="AH14" s="19"/>
      <c r="AI14" s="19"/>
      <c r="AJ14" s="10">
        <f t="shared" si="4"/>
        <v>10</v>
      </c>
      <c r="AK14" s="77">
        <f>16778*0.22</f>
        <v>3691.16</v>
      </c>
    </row>
    <row r="15" spans="1:37" s="68" customFormat="1" ht="13.5" thickBot="1">
      <c r="A15" s="1" t="s">
        <v>55</v>
      </c>
      <c r="B15" s="65" t="s">
        <v>82</v>
      </c>
      <c r="C15" s="85">
        <f>+D15/'Meta Corte Hosp'!R31</f>
        <v>0.4584422133590061</v>
      </c>
      <c r="D15" s="90">
        <f t="shared" si="0"/>
        <v>0.07793517627103104</v>
      </c>
      <c r="E15" s="10">
        <v>0</v>
      </c>
      <c r="F15" s="17">
        <f t="shared" si="1"/>
        <v>97</v>
      </c>
      <c r="G15" s="10">
        <f t="shared" si="2"/>
        <v>136</v>
      </c>
      <c r="H15" s="18"/>
      <c r="I15" s="18"/>
      <c r="J15" s="98"/>
      <c r="K15" s="107">
        <v>27</v>
      </c>
      <c r="L15" s="107">
        <v>53</v>
      </c>
      <c r="M15" s="107">
        <v>42</v>
      </c>
      <c r="N15" s="107">
        <v>43</v>
      </c>
      <c r="O15" s="107"/>
      <c r="P15" s="107"/>
      <c r="Q15" s="107"/>
      <c r="R15" s="107"/>
      <c r="S15" s="107"/>
      <c r="T15" s="108"/>
      <c r="U15" s="107"/>
      <c r="V15" s="19"/>
      <c r="W15" s="10">
        <f t="shared" si="3"/>
        <v>165</v>
      </c>
      <c r="X15" s="19">
        <v>5</v>
      </c>
      <c r="Y15" s="19">
        <v>14</v>
      </c>
      <c r="Z15" s="19">
        <v>6</v>
      </c>
      <c r="AA15" s="19">
        <v>4</v>
      </c>
      <c r="AB15" s="19"/>
      <c r="AC15" s="19"/>
      <c r="AD15" s="19"/>
      <c r="AE15" s="19"/>
      <c r="AF15" s="19"/>
      <c r="AG15" s="19"/>
      <c r="AH15" s="19"/>
      <c r="AI15" s="19"/>
      <c r="AJ15" s="10">
        <f t="shared" si="4"/>
        <v>29</v>
      </c>
      <c r="AK15" s="77">
        <f>7932*0.22</f>
        <v>1745.04</v>
      </c>
    </row>
    <row r="16" spans="1:37" s="68" customFormat="1" ht="13.5" thickBot="1">
      <c r="A16" s="1" t="s">
        <v>56</v>
      </c>
      <c r="B16" s="65" t="s">
        <v>83</v>
      </c>
      <c r="C16" s="85">
        <f>+D16/'Meta Corte Hosp'!R32</f>
        <v>0</v>
      </c>
      <c r="D16" s="90">
        <f t="shared" si="0"/>
        <v>0</v>
      </c>
      <c r="E16" s="10">
        <v>0</v>
      </c>
      <c r="F16" s="17">
        <f t="shared" si="1"/>
        <v>0</v>
      </c>
      <c r="G16" s="10">
        <f t="shared" si="2"/>
        <v>0</v>
      </c>
      <c r="H16" s="77"/>
      <c r="I16" s="77"/>
      <c r="J16" s="98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10">
        <f t="shared" si="3"/>
        <v>0</v>
      </c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10">
        <f t="shared" si="4"/>
        <v>0</v>
      </c>
      <c r="AK16" s="77">
        <f>8720*0.22</f>
        <v>1918.4</v>
      </c>
    </row>
    <row r="17" spans="1:37" ht="17.25" customHeight="1" thickBot="1">
      <c r="A17" s="1" t="s">
        <v>57</v>
      </c>
      <c r="B17" s="65" t="s">
        <v>84</v>
      </c>
      <c r="C17" s="85">
        <f>+D17/'Meta Corte Hosp'!R33</f>
        <v>0</v>
      </c>
      <c r="D17" s="90">
        <f t="shared" si="0"/>
        <v>0</v>
      </c>
      <c r="E17" s="10">
        <v>0</v>
      </c>
      <c r="F17" s="17">
        <f t="shared" si="1"/>
        <v>0</v>
      </c>
      <c r="G17" s="10">
        <f t="shared" si="2"/>
        <v>0</v>
      </c>
      <c r="J17" s="98"/>
      <c r="W17" s="10">
        <f t="shared" si="3"/>
        <v>0</v>
      </c>
      <c r="AJ17" s="10">
        <f t="shared" si="4"/>
        <v>0</v>
      </c>
      <c r="AK17" s="77">
        <f>4489*0.22</f>
        <v>987.58</v>
      </c>
    </row>
    <row r="18" spans="1:37" ht="15">
      <c r="A18" s="68"/>
      <c r="B18" s="69" t="s">
        <v>141</v>
      </c>
      <c r="E18" s="125">
        <f aca="true" t="shared" si="5" ref="E18:J18">SUM(E12:E17)</f>
        <v>1173</v>
      </c>
      <c r="F18" s="125">
        <f t="shared" si="5"/>
        <v>1478</v>
      </c>
      <c r="G18" s="125">
        <f>SUM(G12:G17)</f>
        <v>1589</v>
      </c>
      <c r="H18" s="125">
        <f t="shared" si="5"/>
        <v>0</v>
      </c>
      <c r="I18" s="125">
        <f t="shared" si="5"/>
        <v>0</v>
      </c>
      <c r="J18" s="125">
        <f t="shared" si="5"/>
        <v>0</v>
      </c>
      <c r="W18" s="125">
        <f>SUM(W12:W17)</f>
        <v>674</v>
      </c>
      <c r="AJ18" s="125">
        <f>SUM(AJ12:AJ17)</f>
        <v>258</v>
      </c>
      <c r="AK18" s="125">
        <f>SUM(AK12:AK17)</f>
        <v>12064.14</v>
      </c>
    </row>
  </sheetData>
  <sheetProtection/>
  <mergeCells count="11">
    <mergeCell ref="A1:A10"/>
    <mergeCell ref="B1:B10"/>
    <mergeCell ref="C1:C11"/>
    <mergeCell ref="D1:D10"/>
    <mergeCell ref="E1:AK1"/>
    <mergeCell ref="E2:AJ9"/>
    <mergeCell ref="AK2:AK9"/>
    <mergeCell ref="E10:J10"/>
    <mergeCell ref="K10:W10"/>
    <mergeCell ref="X10:AJ10"/>
    <mergeCell ref="AK10:AK1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R12" sqref="R12:S12"/>
    </sheetView>
  </sheetViews>
  <sheetFormatPr defaultColWidth="11.421875" defaultRowHeight="15"/>
  <cols>
    <col min="1" max="1" width="20.28125" style="68" bestFit="1" customWidth="1"/>
    <col min="2" max="2" width="36.7109375" style="68" bestFit="1" customWidth="1"/>
    <col min="3" max="3" width="14.421875" style="109" customWidth="1"/>
    <col min="4" max="4" width="14.140625" style="109" customWidth="1"/>
    <col min="5" max="6" width="8.421875" style="117" bestFit="1" customWidth="1"/>
    <col min="7" max="16" width="9.7109375" style="109" bestFit="1" customWidth="1"/>
    <col min="17" max="17" width="11.7109375" style="109" bestFit="1" customWidth="1"/>
    <col min="18" max="16384" width="11.421875" style="109" customWidth="1"/>
  </cols>
  <sheetData>
    <row r="1" spans="1:19" ht="73.5" customHeight="1" thickBot="1" thickTop="1">
      <c r="A1" s="244" t="s">
        <v>0</v>
      </c>
      <c r="B1" s="247" t="s">
        <v>1</v>
      </c>
      <c r="C1" s="247" t="s">
        <v>63</v>
      </c>
      <c r="D1" s="251" t="s">
        <v>60</v>
      </c>
      <c r="E1" s="254" t="s">
        <v>142</v>
      </c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</row>
    <row r="2" spans="1:19" ht="15" customHeight="1">
      <c r="A2" s="245"/>
      <c r="B2" s="248"/>
      <c r="C2" s="250"/>
      <c r="D2" s="252"/>
      <c r="E2" s="256" t="s">
        <v>3</v>
      </c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6" t="s">
        <v>4</v>
      </c>
      <c r="S2" s="257"/>
    </row>
    <row r="3" spans="1:19" ht="15" customHeight="1">
      <c r="A3" s="245"/>
      <c r="B3" s="248"/>
      <c r="C3" s="250"/>
      <c r="D3" s="252"/>
      <c r="E3" s="258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8"/>
      <c r="S3" s="259"/>
    </row>
    <row r="4" spans="1:19" ht="15" customHeight="1">
      <c r="A4" s="245"/>
      <c r="B4" s="248"/>
      <c r="C4" s="250"/>
      <c r="D4" s="252"/>
      <c r="E4" s="258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8"/>
      <c r="S4" s="259"/>
    </row>
    <row r="5" spans="1:19" ht="15" customHeight="1">
      <c r="A5" s="245"/>
      <c r="B5" s="248"/>
      <c r="C5" s="250"/>
      <c r="D5" s="252"/>
      <c r="E5" s="258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8"/>
      <c r="S5" s="259"/>
    </row>
    <row r="6" spans="1:19" ht="15" customHeight="1">
      <c r="A6" s="245"/>
      <c r="B6" s="248"/>
      <c r="C6" s="250"/>
      <c r="D6" s="252"/>
      <c r="E6" s="258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8"/>
      <c r="S6" s="259"/>
    </row>
    <row r="7" spans="1:19" ht="15" customHeight="1">
      <c r="A7" s="245"/>
      <c r="B7" s="248"/>
      <c r="C7" s="250"/>
      <c r="D7" s="252"/>
      <c r="E7" s="258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8"/>
      <c r="S7" s="259"/>
    </row>
    <row r="8" spans="1:19" ht="15" customHeight="1">
      <c r="A8" s="245"/>
      <c r="B8" s="248"/>
      <c r="C8" s="250"/>
      <c r="D8" s="252"/>
      <c r="E8" s="258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8"/>
      <c r="S8" s="259"/>
    </row>
    <row r="9" spans="1:19" ht="15.75" customHeight="1" thickBot="1">
      <c r="A9" s="245"/>
      <c r="B9" s="248"/>
      <c r="C9" s="250"/>
      <c r="D9" s="252"/>
      <c r="E9" s="260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0"/>
      <c r="S9" s="261"/>
    </row>
    <row r="10" spans="1:19" ht="57.75" customHeight="1" thickBot="1">
      <c r="A10" s="246"/>
      <c r="B10" s="249"/>
      <c r="C10" s="250"/>
      <c r="D10" s="253"/>
      <c r="E10" s="262" t="s">
        <v>143</v>
      </c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3"/>
      <c r="R10" s="264" t="s">
        <v>144</v>
      </c>
      <c r="S10" s="264"/>
    </row>
    <row r="11" spans="1:19" ht="33" thickBot="1">
      <c r="A11" s="110"/>
      <c r="B11" s="110"/>
      <c r="C11" s="249"/>
      <c r="D11" s="111" t="s">
        <v>61</v>
      </c>
      <c r="E11" s="112" t="s">
        <v>7</v>
      </c>
      <c r="F11" s="112" t="s">
        <v>8</v>
      </c>
      <c r="G11" s="111" t="s">
        <v>9</v>
      </c>
      <c r="H11" s="111" t="s">
        <v>10</v>
      </c>
      <c r="I11" s="111" t="s">
        <v>11</v>
      </c>
      <c r="J11" s="111" t="s">
        <v>12</v>
      </c>
      <c r="K11" s="111" t="s">
        <v>13</v>
      </c>
      <c r="L11" s="111" t="s">
        <v>14</v>
      </c>
      <c r="M11" s="111" t="s">
        <v>15</v>
      </c>
      <c r="N11" s="111" t="s">
        <v>16</v>
      </c>
      <c r="O11" s="111" t="s">
        <v>17</v>
      </c>
      <c r="P11" s="111" t="s">
        <v>18</v>
      </c>
      <c r="Q11" s="111" t="s">
        <v>19</v>
      </c>
      <c r="R11" s="265"/>
      <c r="S11" s="265"/>
    </row>
    <row r="12" spans="1:19" s="68" customFormat="1" ht="13.5" thickBot="1">
      <c r="A12" s="1" t="s">
        <v>78</v>
      </c>
      <c r="B12" s="65" t="s">
        <v>79</v>
      </c>
      <c r="C12" s="85">
        <f>+D12/'Meta Corte Hosp'!S28</f>
        <v>1.3266998341625205</v>
      </c>
      <c r="D12" s="82">
        <f aca="true" t="shared" si="0" ref="D12:D17">+Q12/R12</f>
        <v>0.08955223880597014</v>
      </c>
      <c r="E12" s="113"/>
      <c r="F12" s="113"/>
      <c r="G12" s="114">
        <v>6</v>
      </c>
      <c r="H12" s="114">
        <v>36</v>
      </c>
      <c r="I12" s="114"/>
      <c r="J12" s="114"/>
      <c r="K12" s="114"/>
      <c r="L12" s="115"/>
      <c r="M12" s="115"/>
      <c r="N12" s="115"/>
      <c r="O12" s="115"/>
      <c r="P12" s="115"/>
      <c r="Q12" s="10">
        <f aca="true" t="shared" si="1" ref="Q12:Q17">SUM(E12:P12)</f>
        <v>42</v>
      </c>
      <c r="R12" s="266">
        <v>469</v>
      </c>
      <c r="S12" s="267"/>
    </row>
    <row r="13" spans="1:19" s="68" customFormat="1" ht="13.5" thickBot="1">
      <c r="A13" s="1" t="s">
        <v>53</v>
      </c>
      <c r="B13" s="65" t="s">
        <v>80</v>
      </c>
      <c r="C13" s="85">
        <f>+D13/'Meta Corte Hosp'!S29</f>
        <v>0</v>
      </c>
      <c r="D13" s="83">
        <f t="shared" si="0"/>
        <v>0</v>
      </c>
      <c r="E13" s="113"/>
      <c r="F13" s="113"/>
      <c r="G13" s="114"/>
      <c r="H13" s="114"/>
      <c r="I13" s="114"/>
      <c r="J13" s="114"/>
      <c r="K13" s="114"/>
      <c r="L13" s="115"/>
      <c r="M13" s="115"/>
      <c r="N13" s="115"/>
      <c r="O13" s="115"/>
      <c r="P13" s="115"/>
      <c r="Q13" s="10">
        <f t="shared" si="1"/>
        <v>0</v>
      </c>
      <c r="R13" s="266">
        <v>562</v>
      </c>
      <c r="S13" s="267"/>
    </row>
    <row r="14" spans="1:19" s="68" customFormat="1" ht="13.5" thickBot="1">
      <c r="A14" s="1" t="s">
        <v>54</v>
      </c>
      <c r="B14" s="65" t="s">
        <v>81</v>
      </c>
      <c r="C14" s="85">
        <f>+D14/'Meta Corte Hosp'!S30</f>
        <v>0</v>
      </c>
      <c r="D14" s="83">
        <f t="shared" si="0"/>
        <v>0</v>
      </c>
      <c r="E14" s="113"/>
      <c r="F14" s="113"/>
      <c r="G14" s="114"/>
      <c r="H14" s="114"/>
      <c r="I14" s="114"/>
      <c r="J14" s="114"/>
      <c r="K14" s="114"/>
      <c r="L14" s="115"/>
      <c r="M14" s="115"/>
      <c r="N14" s="115"/>
      <c r="O14" s="115"/>
      <c r="P14" s="115"/>
      <c r="Q14" s="10">
        <f t="shared" si="1"/>
        <v>0</v>
      </c>
      <c r="R14" s="266">
        <v>1840</v>
      </c>
      <c r="S14" s="267"/>
    </row>
    <row r="15" spans="1:19" s="68" customFormat="1" ht="13.5" thickBot="1">
      <c r="A15" s="1" t="s">
        <v>55</v>
      </c>
      <c r="B15" s="65" t="s">
        <v>82</v>
      </c>
      <c r="C15" s="85">
        <f>+D15/'Meta Corte Hosp'!S31</f>
        <v>0</v>
      </c>
      <c r="D15" s="83">
        <f t="shared" si="0"/>
        <v>0</v>
      </c>
      <c r="E15" s="113"/>
      <c r="F15" s="113"/>
      <c r="G15" s="114"/>
      <c r="H15" s="114"/>
      <c r="I15" s="114"/>
      <c r="J15" s="114"/>
      <c r="K15" s="114"/>
      <c r="L15" s="115"/>
      <c r="M15" s="115"/>
      <c r="N15" s="115"/>
      <c r="O15" s="115"/>
      <c r="P15" s="115"/>
      <c r="Q15" s="10">
        <f t="shared" si="1"/>
        <v>0</v>
      </c>
      <c r="R15" s="266">
        <v>949</v>
      </c>
      <c r="S15" s="267"/>
    </row>
    <row r="16" spans="1:19" s="67" customFormat="1" ht="13.5" thickBot="1">
      <c r="A16" s="1" t="s">
        <v>56</v>
      </c>
      <c r="B16" s="65" t="s">
        <v>83</v>
      </c>
      <c r="C16" s="85">
        <f>+D16/'Meta Corte Hosp'!S32</f>
        <v>0</v>
      </c>
      <c r="D16" s="83">
        <f t="shared" si="0"/>
        <v>0</v>
      </c>
      <c r="E16" s="143"/>
      <c r="F16" s="143"/>
      <c r="G16" s="143"/>
      <c r="H16" s="143">
        <v>0</v>
      </c>
      <c r="I16" s="116"/>
      <c r="J16" s="116"/>
      <c r="K16" s="116"/>
      <c r="L16" s="116"/>
      <c r="M16" s="116"/>
      <c r="N16" s="116"/>
      <c r="O16" s="116"/>
      <c r="P16" s="116"/>
      <c r="Q16" s="10">
        <f t="shared" si="1"/>
        <v>0</v>
      </c>
      <c r="R16" s="266">
        <v>1267</v>
      </c>
      <c r="S16" s="267"/>
    </row>
    <row r="17" spans="1:19" ht="16.5" customHeight="1" thickBot="1">
      <c r="A17" s="1" t="s">
        <v>57</v>
      </c>
      <c r="B17" s="65" t="s">
        <v>84</v>
      </c>
      <c r="C17" s="85">
        <f>+D17/'Meta Corte Hosp'!S33</f>
        <v>0</v>
      </c>
      <c r="D17" s="84">
        <f t="shared" si="0"/>
        <v>0</v>
      </c>
      <c r="Q17" s="10">
        <f t="shared" si="1"/>
        <v>0</v>
      </c>
      <c r="R17" s="266">
        <v>1604</v>
      </c>
      <c r="S17" s="267"/>
    </row>
    <row r="18" spans="1:17" s="123" customFormat="1" ht="14.25">
      <c r="A18" s="70"/>
      <c r="B18" s="69" t="s">
        <v>141</v>
      </c>
      <c r="E18" s="124"/>
      <c r="F18" s="124"/>
      <c r="Q18" s="81">
        <f>SUM(Q12:Q17)</f>
        <v>42</v>
      </c>
    </row>
  </sheetData>
  <sheetProtection/>
  <mergeCells count="15">
    <mergeCell ref="R16:S16"/>
    <mergeCell ref="R12:S12"/>
    <mergeCell ref="R13:S13"/>
    <mergeCell ref="R14:S14"/>
    <mergeCell ref="R15:S15"/>
    <mergeCell ref="R17:S17"/>
    <mergeCell ref="A1:A10"/>
    <mergeCell ref="B1:B10"/>
    <mergeCell ref="C1:C11"/>
    <mergeCell ref="D1:D10"/>
    <mergeCell ref="E1:S1"/>
    <mergeCell ref="E2:Q9"/>
    <mergeCell ref="R2:S9"/>
    <mergeCell ref="E10:Q10"/>
    <mergeCell ref="R10:S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U68"/>
  <sheetViews>
    <sheetView zoomScale="80" zoomScaleNormal="80" zoomScalePageLayoutView="0" workbookViewId="0" topLeftCell="B1">
      <pane xSplit="4" ySplit="3" topLeftCell="F21" activePane="bottomRight" state="frozen"/>
      <selection pane="topLeft" activeCell="B1" sqref="B1"/>
      <selection pane="topRight" activeCell="F1" sqref="F1"/>
      <selection pane="bottomLeft" activeCell="B4" sqref="B4"/>
      <selection pane="bottomRight" activeCell="S28" sqref="S28"/>
    </sheetView>
  </sheetViews>
  <sheetFormatPr defaultColWidth="11.421875" defaultRowHeight="15"/>
  <cols>
    <col min="3" max="3" width="12.28125" style="0" bestFit="1" customWidth="1"/>
    <col min="5" max="5" width="63.7109375" style="0" bestFit="1" customWidth="1"/>
    <col min="12" max="12" width="13.421875" style="0" customWidth="1"/>
    <col min="17" max="18" width="12.57421875" style="0" bestFit="1" customWidth="1"/>
  </cols>
  <sheetData>
    <row r="1" spans="1:18" s="38" customFormat="1" ht="18">
      <c r="A1" s="268" t="s">
        <v>73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11"/>
      <c r="R1" s="12"/>
    </row>
    <row r="3" spans="1:229" ht="180">
      <c r="A3" s="23" t="s">
        <v>86</v>
      </c>
      <c r="B3" s="23" t="s">
        <v>87</v>
      </c>
      <c r="C3" s="49" t="s">
        <v>0</v>
      </c>
      <c r="D3" s="23" t="s">
        <v>88</v>
      </c>
      <c r="E3" s="50" t="s">
        <v>1</v>
      </c>
      <c r="F3" s="23" t="s">
        <v>89</v>
      </c>
      <c r="G3" s="23" t="s">
        <v>90</v>
      </c>
      <c r="H3" s="23" t="s">
        <v>91</v>
      </c>
      <c r="I3" s="23" t="s">
        <v>92</v>
      </c>
      <c r="J3" s="23" t="s">
        <v>93</v>
      </c>
      <c r="K3" s="23" t="s">
        <v>94</v>
      </c>
      <c r="L3" s="23" t="s">
        <v>145</v>
      </c>
      <c r="M3" s="23" t="s">
        <v>146</v>
      </c>
      <c r="N3" s="23" t="s">
        <v>147</v>
      </c>
      <c r="O3" s="23" t="s">
        <v>95</v>
      </c>
      <c r="P3" s="51" t="s">
        <v>96</v>
      </c>
      <c r="Q3" s="51" t="s">
        <v>97</v>
      </c>
      <c r="R3" s="51" t="s">
        <v>98</v>
      </c>
      <c r="S3" s="51" t="s">
        <v>148</v>
      </c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</row>
    <row r="4" spans="1:229" ht="15">
      <c r="A4" s="39" t="s">
        <v>64</v>
      </c>
      <c r="B4" s="40">
        <v>5</v>
      </c>
      <c r="C4" s="41" t="s">
        <v>99</v>
      </c>
      <c r="D4" s="42" t="s">
        <v>100</v>
      </c>
      <c r="E4" s="43" t="s">
        <v>101</v>
      </c>
      <c r="F4" s="42" t="s">
        <v>102</v>
      </c>
      <c r="G4" s="44">
        <v>0.25</v>
      </c>
      <c r="H4" s="45">
        <v>0.32</v>
      </c>
      <c r="I4" s="44">
        <v>0.4</v>
      </c>
      <c r="J4" s="44">
        <v>0.8</v>
      </c>
      <c r="K4" s="55">
        <v>0.24</v>
      </c>
      <c r="L4" s="57">
        <v>0.98</v>
      </c>
      <c r="M4" s="58">
        <v>0.56</v>
      </c>
      <c r="N4" s="60">
        <v>0.74</v>
      </c>
      <c r="O4" s="46">
        <v>0.9</v>
      </c>
      <c r="P4" s="47">
        <v>0.72</v>
      </c>
      <c r="Q4" s="48">
        <v>0.29</v>
      </c>
      <c r="R4" s="48">
        <v>0.17</v>
      </c>
      <c r="S4" s="48">
        <v>0.15</v>
      </c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</row>
    <row r="5" spans="1:229" ht="15">
      <c r="A5" s="25" t="s">
        <v>64</v>
      </c>
      <c r="B5" s="26">
        <v>5</v>
      </c>
      <c r="C5" s="25" t="s">
        <v>68</v>
      </c>
      <c r="D5" s="33" t="s">
        <v>116</v>
      </c>
      <c r="E5" s="28" t="s">
        <v>117</v>
      </c>
      <c r="F5" s="27" t="s">
        <v>118</v>
      </c>
      <c r="G5" s="29">
        <v>0.18</v>
      </c>
      <c r="H5" s="32">
        <v>0.26</v>
      </c>
      <c r="I5" s="29">
        <v>0.55</v>
      </c>
      <c r="J5" s="29">
        <v>0.8</v>
      </c>
      <c r="K5" s="56">
        <v>0.17</v>
      </c>
      <c r="L5" s="57">
        <v>0.98</v>
      </c>
      <c r="M5" s="59">
        <v>0.55</v>
      </c>
      <c r="N5" s="61">
        <v>0.61</v>
      </c>
      <c r="O5" s="46">
        <v>0.9</v>
      </c>
      <c r="P5" s="34">
        <v>0.47</v>
      </c>
      <c r="Q5" s="35">
        <v>0.28</v>
      </c>
      <c r="R5" s="48">
        <v>0.17</v>
      </c>
      <c r="S5" s="48">
        <v>0.15</v>
      </c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</row>
    <row r="6" spans="1:229" ht="15">
      <c r="A6" s="25" t="s">
        <v>64</v>
      </c>
      <c r="B6" s="26">
        <v>5</v>
      </c>
      <c r="C6" s="25" t="s">
        <v>65</v>
      </c>
      <c r="D6" s="27" t="s">
        <v>107</v>
      </c>
      <c r="E6" s="28" t="s">
        <v>108</v>
      </c>
      <c r="F6" s="27" t="s">
        <v>109</v>
      </c>
      <c r="G6" s="29">
        <v>0.2</v>
      </c>
      <c r="H6" s="30">
        <v>0.26</v>
      </c>
      <c r="I6" s="29">
        <v>0.4</v>
      </c>
      <c r="J6" s="29">
        <v>0.8</v>
      </c>
      <c r="K6" s="56">
        <v>0.24</v>
      </c>
      <c r="L6" s="57">
        <v>0.98</v>
      </c>
      <c r="M6" s="59">
        <v>0.5</v>
      </c>
      <c r="N6" s="61">
        <v>0.71</v>
      </c>
      <c r="O6" s="46">
        <v>0.9</v>
      </c>
      <c r="P6" s="34">
        <v>0.27</v>
      </c>
      <c r="Q6" s="35">
        <v>0.22</v>
      </c>
      <c r="R6" s="48">
        <v>0.17</v>
      </c>
      <c r="S6" s="48">
        <v>0.15</v>
      </c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</row>
    <row r="7" spans="1:229" ht="15">
      <c r="A7" s="25" t="s">
        <v>64</v>
      </c>
      <c r="B7" s="31">
        <v>5</v>
      </c>
      <c r="C7" s="25" t="s">
        <v>66</v>
      </c>
      <c r="D7" s="27" t="s">
        <v>110</v>
      </c>
      <c r="E7" s="28" t="s">
        <v>111</v>
      </c>
      <c r="F7" s="27" t="s">
        <v>112</v>
      </c>
      <c r="G7" s="29">
        <v>0.2</v>
      </c>
      <c r="H7" s="32">
        <v>0.26</v>
      </c>
      <c r="I7" s="29">
        <v>0.4</v>
      </c>
      <c r="J7" s="29">
        <v>0.8</v>
      </c>
      <c r="K7" s="56">
        <v>0.24</v>
      </c>
      <c r="L7" s="57">
        <v>0.98</v>
      </c>
      <c r="M7" s="59">
        <v>0.8</v>
      </c>
      <c r="N7" s="61">
        <v>0.86</v>
      </c>
      <c r="O7" s="46">
        <v>0.9</v>
      </c>
      <c r="P7" s="34">
        <v>0.36</v>
      </c>
      <c r="Q7" s="37">
        <v>0.22</v>
      </c>
      <c r="R7" s="48">
        <v>0.17</v>
      </c>
      <c r="S7" s="48">
        <v>0.15</v>
      </c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</row>
    <row r="8" spans="1:229" ht="15">
      <c r="A8" s="25" t="s">
        <v>64</v>
      </c>
      <c r="B8" s="26">
        <v>5</v>
      </c>
      <c r="C8" s="25" t="s">
        <v>67</v>
      </c>
      <c r="D8" s="27" t="s">
        <v>113</v>
      </c>
      <c r="E8" s="28" t="s">
        <v>114</v>
      </c>
      <c r="F8" s="27" t="s">
        <v>115</v>
      </c>
      <c r="G8" s="29">
        <v>0.2</v>
      </c>
      <c r="H8" s="32">
        <v>0.26</v>
      </c>
      <c r="I8" s="29">
        <v>0.4</v>
      </c>
      <c r="J8" s="29">
        <v>0.8</v>
      </c>
      <c r="K8" s="56">
        <v>0.24</v>
      </c>
      <c r="L8" s="57">
        <v>0.98</v>
      </c>
      <c r="M8" s="59">
        <v>0.65</v>
      </c>
      <c r="N8" s="61">
        <v>0.8</v>
      </c>
      <c r="O8" s="46">
        <v>0.9</v>
      </c>
      <c r="P8" s="34">
        <v>0.27</v>
      </c>
      <c r="Q8" s="35">
        <v>0.22</v>
      </c>
      <c r="R8" s="48">
        <v>0.17</v>
      </c>
      <c r="S8" s="48">
        <v>0.15</v>
      </c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</row>
    <row r="9" spans="1:229" ht="15">
      <c r="A9" s="25" t="s">
        <v>64</v>
      </c>
      <c r="B9" s="31">
        <v>5</v>
      </c>
      <c r="C9" s="25" t="s">
        <v>103</v>
      </c>
      <c r="D9" s="27" t="s">
        <v>104</v>
      </c>
      <c r="E9" s="28" t="s">
        <v>105</v>
      </c>
      <c r="F9" s="27" t="s">
        <v>106</v>
      </c>
      <c r="G9" s="29">
        <v>0.3</v>
      </c>
      <c r="H9" s="30">
        <v>0.28</v>
      </c>
      <c r="I9" s="29">
        <v>0.61</v>
      </c>
      <c r="J9" s="29">
        <v>0.82</v>
      </c>
      <c r="K9" s="56">
        <v>0.24</v>
      </c>
      <c r="L9" s="57">
        <v>0.98</v>
      </c>
      <c r="M9" s="59">
        <v>0.65</v>
      </c>
      <c r="N9" s="61">
        <v>0.78</v>
      </c>
      <c r="O9" s="46">
        <v>0.9</v>
      </c>
      <c r="P9" s="34">
        <v>0.29</v>
      </c>
      <c r="Q9" s="37">
        <v>0.22</v>
      </c>
      <c r="R9" s="48">
        <v>0.17</v>
      </c>
      <c r="S9" s="48">
        <v>0.15</v>
      </c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</row>
    <row r="13" spans="1:18" s="38" customFormat="1" ht="18">
      <c r="A13" s="268" t="s">
        <v>76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11"/>
      <c r="R13" s="12"/>
    </row>
    <row r="15" spans="1:229" ht="180">
      <c r="A15" s="23" t="s">
        <v>86</v>
      </c>
      <c r="B15" s="23" t="s">
        <v>87</v>
      </c>
      <c r="C15" s="49" t="s">
        <v>0</v>
      </c>
      <c r="D15" s="23" t="s">
        <v>88</v>
      </c>
      <c r="E15" s="50" t="s">
        <v>1</v>
      </c>
      <c r="F15" s="23" t="s">
        <v>89</v>
      </c>
      <c r="G15" s="23" t="s">
        <v>90</v>
      </c>
      <c r="H15" s="23" t="s">
        <v>91</v>
      </c>
      <c r="I15" s="23" t="s">
        <v>92</v>
      </c>
      <c r="J15" s="23" t="s">
        <v>93</v>
      </c>
      <c r="K15" s="23" t="s">
        <v>94</v>
      </c>
      <c r="L15" s="23" t="s">
        <v>145</v>
      </c>
      <c r="M15" s="23" t="s">
        <v>146</v>
      </c>
      <c r="N15" s="23" t="s">
        <v>147</v>
      </c>
      <c r="O15" s="23" t="s">
        <v>95</v>
      </c>
      <c r="P15" s="51" t="s">
        <v>96</v>
      </c>
      <c r="Q15" s="51" t="s">
        <v>97</v>
      </c>
      <c r="R15" s="51" t="s">
        <v>98</v>
      </c>
      <c r="S15" s="51" t="s">
        <v>148</v>
      </c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</row>
    <row r="16" spans="1:229" ht="16.5">
      <c r="A16" s="52"/>
      <c r="B16" s="52"/>
      <c r="C16" s="53"/>
      <c r="D16" s="52"/>
      <c r="E16" s="54"/>
      <c r="F16" s="52"/>
      <c r="G16" s="13">
        <v>0.1</v>
      </c>
      <c r="H16" s="13">
        <v>0.1</v>
      </c>
      <c r="I16" s="13">
        <v>0.1</v>
      </c>
      <c r="J16" s="14">
        <v>1</v>
      </c>
      <c r="K16" s="13">
        <v>0.1</v>
      </c>
      <c r="L16" s="14">
        <v>1</v>
      </c>
      <c r="M16" s="14">
        <v>1</v>
      </c>
      <c r="N16" s="14">
        <v>1</v>
      </c>
      <c r="O16" s="13">
        <v>0.1</v>
      </c>
      <c r="P16" s="13">
        <v>0.1</v>
      </c>
      <c r="Q16" s="14">
        <v>0.25</v>
      </c>
      <c r="R16" s="14">
        <v>1</v>
      </c>
      <c r="S16" s="126">
        <v>0.1</v>
      </c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</row>
    <row r="17" spans="1:229" ht="15" customHeight="1">
      <c r="A17" s="39" t="s">
        <v>64</v>
      </c>
      <c r="B17" s="40">
        <v>5</v>
      </c>
      <c r="C17" s="41" t="s">
        <v>99</v>
      </c>
      <c r="D17" s="42" t="s">
        <v>100</v>
      </c>
      <c r="E17" s="43" t="s">
        <v>101</v>
      </c>
      <c r="F17" s="42" t="s">
        <v>102</v>
      </c>
      <c r="G17" s="44">
        <f aca="true" t="shared" si="0" ref="G17:G22">+$G4*$G$16</f>
        <v>0.025</v>
      </c>
      <c r="H17" s="44">
        <f aca="true" t="shared" si="1" ref="H17:H22">+$H4*$H$16</f>
        <v>0.032</v>
      </c>
      <c r="I17" s="44">
        <f aca="true" t="shared" si="2" ref="I17:I22">+$I4*$I$16</f>
        <v>0.04000000000000001</v>
      </c>
      <c r="J17" s="44">
        <f aca="true" t="shared" si="3" ref="J17:J22">+$J4*$J$16</f>
        <v>0.8</v>
      </c>
      <c r="K17" s="44">
        <f aca="true" t="shared" si="4" ref="K17:K22">+$K4*$K$16</f>
        <v>0.024</v>
      </c>
      <c r="L17" s="44">
        <f aca="true" t="shared" si="5" ref="L17:L22">+$L4*$L$16</f>
        <v>0.98</v>
      </c>
      <c r="M17" s="44">
        <f aca="true" t="shared" si="6" ref="M17:M22">+$M4*$M$16</f>
        <v>0.56</v>
      </c>
      <c r="N17" s="44">
        <f aca="true" t="shared" si="7" ref="N17:N22">+$N4*$N$16</f>
        <v>0.74</v>
      </c>
      <c r="O17" s="44">
        <f aca="true" t="shared" si="8" ref="O17:O22">+$O4*$O$16</f>
        <v>0.09000000000000001</v>
      </c>
      <c r="P17" s="62">
        <f aca="true" t="shared" si="9" ref="P17:P22">+$P4*$P$16</f>
        <v>0.072</v>
      </c>
      <c r="Q17" s="44"/>
      <c r="R17" s="44">
        <f aca="true" t="shared" si="10" ref="R17:R22">+$R4*$R$16</f>
        <v>0.17</v>
      </c>
      <c r="S17" s="44">
        <f aca="true" t="shared" si="11" ref="S17:S22">+$S4*$S$16</f>
        <v>0.015</v>
      </c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</row>
    <row r="18" spans="1:229" ht="15">
      <c r="A18" s="25" t="s">
        <v>64</v>
      </c>
      <c r="B18" s="26">
        <v>5</v>
      </c>
      <c r="C18" s="25" t="s">
        <v>68</v>
      </c>
      <c r="D18" s="33" t="s">
        <v>116</v>
      </c>
      <c r="E18" s="28" t="s">
        <v>117</v>
      </c>
      <c r="F18" s="27" t="s">
        <v>118</v>
      </c>
      <c r="G18" s="44">
        <f t="shared" si="0"/>
        <v>0.018</v>
      </c>
      <c r="H18" s="44">
        <f t="shared" si="1"/>
        <v>0.026000000000000002</v>
      </c>
      <c r="I18" s="44">
        <f t="shared" si="2"/>
        <v>0.05500000000000001</v>
      </c>
      <c r="J18" s="44">
        <f t="shared" si="3"/>
        <v>0.8</v>
      </c>
      <c r="K18" s="44">
        <f t="shared" si="4"/>
        <v>0.017</v>
      </c>
      <c r="L18" s="44">
        <f t="shared" si="5"/>
        <v>0.98</v>
      </c>
      <c r="M18" s="44">
        <f t="shared" si="6"/>
        <v>0.55</v>
      </c>
      <c r="N18" s="44">
        <f t="shared" si="7"/>
        <v>0.61</v>
      </c>
      <c r="O18" s="44">
        <f t="shared" si="8"/>
        <v>0.09000000000000001</v>
      </c>
      <c r="P18" s="62">
        <f t="shared" si="9"/>
        <v>0.047</v>
      </c>
      <c r="Q18" s="44"/>
      <c r="R18" s="44">
        <f t="shared" si="10"/>
        <v>0.17</v>
      </c>
      <c r="S18" s="44">
        <f t="shared" si="11"/>
        <v>0.015</v>
      </c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</row>
    <row r="19" spans="1:229" ht="15">
      <c r="A19" s="25" t="s">
        <v>64</v>
      </c>
      <c r="B19" s="26">
        <v>5</v>
      </c>
      <c r="C19" s="25" t="s">
        <v>65</v>
      </c>
      <c r="D19" s="27" t="s">
        <v>107</v>
      </c>
      <c r="E19" s="28" t="s">
        <v>108</v>
      </c>
      <c r="F19" s="27" t="s">
        <v>109</v>
      </c>
      <c r="G19" s="44">
        <f t="shared" si="0"/>
        <v>0.020000000000000004</v>
      </c>
      <c r="H19" s="44">
        <f t="shared" si="1"/>
        <v>0.026000000000000002</v>
      </c>
      <c r="I19" s="44">
        <f t="shared" si="2"/>
        <v>0.04000000000000001</v>
      </c>
      <c r="J19" s="44">
        <f t="shared" si="3"/>
        <v>0.8</v>
      </c>
      <c r="K19" s="44">
        <f t="shared" si="4"/>
        <v>0.024</v>
      </c>
      <c r="L19" s="44">
        <f t="shared" si="5"/>
        <v>0.98</v>
      </c>
      <c r="M19" s="44">
        <f t="shared" si="6"/>
        <v>0.5</v>
      </c>
      <c r="N19" s="44">
        <f t="shared" si="7"/>
        <v>0.71</v>
      </c>
      <c r="O19" s="44">
        <f t="shared" si="8"/>
        <v>0.09000000000000001</v>
      </c>
      <c r="P19" s="62">
        <f t="shared" si="9"/>
        <v>0.027000000000000003</v>
      </c>
      <c r="Q19" s="44"/>
      <c r="R19" s="44">
        <f t="shared" si="10"/>
        <v>0.17</v>
      </c>
      <c r="S19" s="44">
        <f t="shared" si="11"/>
        <v>0.015</v>
      </c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</row>
    <row r="20" spans="1:229" ht="15">
      <c r="A20" s="25" t="s">
        <v>64</v>
      </c>
      <c r="B20" s="31">
        <v>5</v>
      </c>
      <c r="C20" s="25" t="s">
        <v>66</v>
      </c>
      <c r="D20" s="27" t="s">
        <v>110</v>
      </c>
      <c r="E20" s="28" t="s">
        <v>111</v>
      </c>
      <c r="F20" s="27" t="s">
        <v>112</v>
      </c>
      <c r="G20" s="44">
        <f t="shared" si="0"/>
        <v>0.020000000000000004</v>
      </c>
      <c r="H20" s="44">
        <f t="shared" si="1"/>
        <v>0.026000000000000002</v>
      </c>
      <c r="I20" s="44">
        <f t="shared" si="2"/>
        <v>0.04000000000000001</v>
      </c>
      <c r="J20" s="44">
        <f t="shared" si="3"/>
        <v>0.8</v>
      </c>
      <c r="K20" s="44">
        <f t="shared" si="4"/>
        <v>0.024</v>
      </c>
      <c r="L20" s="44">
        <f t="shared" si="5"/>
        <v>0.98</v>
      </c>
      <c r="M20" s="44">
        <f t="shared" si="6"/>
        <v>0.8</v>
      </c>
      <c r="N20" s="44">
        <f t="shared" si="7"/>
        <v>0.86</v>
      </c>
      <c r="O20" s="44">
        <f t="shared" si="8"/>
        <v>0.09000000000000001</v>
      </c>
      <c r="P20" s="62">
        <f t="shared" si="9"/>
        <v>0.036</v>
      </c>
      <c r="Q20" s="44"/>
      <c r="R20" s="44">
        <f t="shared" si="10"/>
        <v>0.17</v>
      </c>
      <c r="S20" s="44">
        <f t="shared" si="11"/>
        <v>0.015</v>
      </c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</row>
    <row r="21" spans="1:229" ht="15">
      <c r="A21" s="25" t="s">
        <v>64</v>
      </c>
      <c r="B21" s="26">
        <v>5</v>
      </c>
      <c r="C21" s="25" t="s">
        <v>67</v>
      </c>
      <c r="D21" s="27" t="s">
        <v>113</v>
      </c>
      <c r="E21" s="28" t="s">
        <v>114</v>
      </c>
      <c r="F21" s="27" t="s">
        <v>115</v>
      </c>
      <c r="G21" s="44">
        <f t="shared" si="0"/>
        <v>0.020000000000000004</v>
      </c>
      <c r="H21" s="44">
        <f t="shared" si="1"/>
        <v>0.026000000000000002</v>
      </c>
      <c r="I21" s="44">
        <f t="shared" si="2"/>
        <v>0.04000000000000001</v>
      </c>
      <c r="J21" s="44">
        <f t="shared" si="3"/>
        <v>0.8</v>
      </c>
      <c r="K21" s="44">
        <f t="shared" si="4"/>
        <v>0.024</v>
      </c>
      <c r="L21" s="44">
        <f t="shared" si="5"/>
        <v>0.98</v>
      </c>
      <c r="M21" s="44">
        <f t="shared" si="6"/>
        <v>0.65</v>
      </c>
      <c r="N21" s="44">
        <f t="shared" si="7"/>
        <v>0.8</v>
      </c>
      <c r="O21" s="44">
        <f t="shared" si="8"/>
        <v>0.09000000000000001</v>
      </c>
      <c r="P21" s="62">
        <f t="shared" si="9"/>
        <v>0.027000000000000003</v>
      </c>
      <c r="Q21" s="44"/>
      <c r="R21" s="44">
        <f t="shared" si="10"/>
        <v>0.17</v>
      </c>
      <c r="S21" s="44">
        <f t="shared" si="11"/>
        <v>0.015</v>
      </c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</row>
    <row r="22" spans="1:229" ht="15">
      <c r="A22" s="25" t="s">
        <v>64</v>
      </c>
      <c r="B22" s="31">
        <v>5</v>
      </c>
      <c r="C22" s="25" t="s">
        <v>103</v>
      </c>
      <c r="D22" s="27" t="s">
        <v>104</v>
      </c>
      <c r="E22" s="28" t="s">
        <v>105</v>
      </c>
      <c r="F22" s="27" t="s">
        <v>106</v>
      </c>
      <c r="G22" s="44">
        <f t="shared" si="0"/>
        <v>0.03</v>
      </c>
      <c r="H22" s="44">
        <f t="shared" si="1"/>
        <v>0.028000000000000004</v>
      </c>
      <c r="I22" s="44">
        <f t="shared" si="2"/>
        <v>0.061</v>
      </c>
      <c r="J22" s="44">
        <f t="shared" si="3"/>
        <v>0.82</v>
      </c>
      <c r="K22" s="44">
        <f t="shared" si="4"/>
        <v>0.024</v>
      </c>
      <c r="L22" s="44">
        <f t="shared" si="5"/>
        <v>0.98</v>
      </c>
      <c r="M22" s="44">
        <f t="shared" si="6"/>
        <v>0.65</v>
      </c>
      <c r="N22" s="44">
        <f t="shared" si="7"/>
        <v>0.78</v>
      </c>
      <c r="O22" s="44">
        <f t="shared" si="8"/>
        <v>0.09000000000000001</v>
      </c>
      <c r="P22" s="62">
        <f t="shared" si="9"/>
        <v>0.028999999999999998</v>
      </c>
      <c r="Q22" s="44"/>
      <c r="R22" s="44">
        <f t="shared" si="10"/>
        <v>0.17</v>
      </c>
      <c r="S22" s="44">
        <f t="shared" si="11"/>
        <v>0.015</v>
      </c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</row>
    <row r="24" spans="1:18" s="38" customFormat="1" ht="18">
      <c r="A24" s="268" t="s">
        <v>119</v>
      </c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11"/>
      <c r="R24" s="12"/>
    </row>
    <row r="26" spans="1:229" ht="180">
      <c r="A26" s="23" t="s">
        <v>86</v>
      </c>
      <c r="B26" s="23" t="s">
        <v>87</v>
      </c>
      <c r="C26" s="49" t="s">
        <v>0</v>
      </c>
      <c r="D26" s="23" t="s">
        <v>88</v>
      </c>
      <c r="E26" s="50" t="s">
        <v>1</v>
      </c>
      <c r="F26" s="23" t="s">
        <v>89</v>
      </c>
      <c r="G26" s="23" t="s">
        <v>90</v>
      </c>
      <c r="H26" s="23" t="s">
        <v>91</v>
      </c>
      <c r="I26" s="23" t="s">
        <v>92</v>
      </c>
      <c r="J26" s="23" t="s">
        <v>93</v>
      </c>
      <c r="K26" s="23" t="s">
        <v>94</v>
      </c>
      <c r="L26" s="23" t="s">
        <v>145</v>
      </c>
      <c r="M26" s="23" t="s">
        <v>146</v>
      </c>
      <c r="N26" s="23" t="s">
        <v>147</v>
      </c>
      <c r="O26" s="23" t="s">
        <v>95</v>
      </c>
      <c r="P26" s="51" t="s">
        <v>96</v>
      </c>
      <c r="Q26" s="51" t="s">
        <v>97</v>
      </c>
      <c r="R26" s="51" t="s">
        <v>98</v>
      </c>
      <c r="S26" s="51" t="s">
        <v>148</v>
      </c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</row>
    <row r="27" spans="1:229" ht="16.5">
      <c r="A27" s="52"/>
      <c r="B27" s="52"/>
      <c r="C27" s="53"/>
      <c r="D27" s="52"/>
      <c r="E27" s="54"/>
      <c r="F27" s="52"/>
      <c r="G27" s="13">
        <v>0.45</v>
      </c>
      <c r="H27" s="13">
        <v>0.45</v>
      </c>
      <c r="I27" s="13">
        <v>0.45</v>
      </c>
      <c r="J27" s="14">
        <v>1</v>
      </c>
      <c r="K27" s="13">
        <v>0.45</v>
      </c>
      <c r="L27" s="14">
        <v>1</v>
      </c>
      <c r="M27" s="14">
        <v>1</v>
      </c>
      <c r="N27" s="14">
        <v>1</v>
      </c>
      <c r="O27" s="13">
        <v>0.45</v>
      </c>
      <c r="P27" s="13">
        <v>0.45</v>
      </c>
      <c r="Q27" s="14">
        <v>0.5</v>
      </c>
      <c r="R27" s="14">
        <v>1</v>
      </c>
      <c r="S27" s="126">
        <v>0.45</v>
      </c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</row>
    <row r="28" spans="1:229" ht="15" customHeight="1">
      <c r="A28" s="39" t="s">
        <v>64</v>
      </c>
      <c r="B28" s="40">
        <v>5</v>
      </c>
      <c r="C28" s="41" t="s">
        <v>99</v>
      </c>
      <c r="D28" s="42" t="s">
        <v>100</v>
      </c>
      <c r="E28" s="43" t="s">
        <v>101</v>
      </c>
      <c r="F28" s="42" t="s">
        <v>102</v>
      </c>
      <c r="G28" s="44">
        <f aca="true" t="shared" si="12" ref="G28:G33">+$G4*$G$27</f>
        <v>0.1125</v>
      </c>
      <c r="H28" s="44">
        <f aca="true" t="shared" si="13" ref="H28:H33">+$H4*$H$27</f>
        <v>0.14400000000000002</v>
      </c>
      <c r="I28" s="44">
        <f aca="true" t="shared" si="14" ref="I28:I33">+$I4*$I$27</f>
        <v>0.18000000000000002</v>
      </c>
      <c r="J28" s="44">
        <f aca="true" t="shared" si="15" ref="J28:J33">+$J4*$J$27</f>
        <v>0.8</v>
      </c>
      <c r="K28" s="44">
        <f aca="true" t="shared" si="16" ref="K28:K33">+$K4*$K$27</f>
        <v>0.108</v>
      </c>
      <c r="L28" s="44">
        <f aca="true" t="shared" si="17" ref="L28:L33">+$L4*$L$27</f>
        <v>0.98</v>
      </c>
      <c r="M28" s="44">
        <f aca="true" t="shared" si="18" ref="M28:M33">+$M4*$M$27</f>
        <v>0.56</v>
      </c>
      <c r="N28" s="44">
        <f aca="true" t="shared" si="19" ref="N28:N33">+$N4*$N$27</f>
        <v>0.74</v>
      </c>
      <c r="O28" s="44">
        <f aca="true" t="shared" si="20" ref="O28:O33">+$O4*$O$27</f>
        <v>0.405</v>
      </c>
      <c r="P28" s="44">
        <f aca="true" t="shared" si="21" ref="P28:P33">+$P4*$P$27</f>
        <v>0.324</v>
      </c>
      <c r="Q28" s="44">
        <v>0.255</v>
      </c>
      <c r="R28" s="44">
        <f aca="true" t="shared" si="22" ref="R28:R33">+$R4*$R$27</f>
        <v>0.17</v>
      </c>
      <c r="S28" s="44">
        <f aca="true" t="shared" si="23" ref="S28:S33">+$S4*$S$27</f>
        <v>0.0675</v>
      </c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</row>
    <row r="29" spans="1:229" ht="15">
      <c r="A29" s="25" t="s">
        <v>64</v>
      </c>
      <c r="B29" s="26">
        <v>5</v>
      </c>
      <c r="C29" s="25" t="s">
        <v>68</v>
      </c>
      <c r="D29" s="33" t="s">
        <v>116</v>
      </c>
      <c r="E29" s="28" t="s">
        <v>117</v>
      </c>
      <c r="F29" s="27" t="s">
        <v>118</v>
      </c>
      <c r="G29" s="44">
        <f t="shared" si="12"/>
        <v>0.081</v>
      </c>
      <c r="H29" s="44">
        <f t="shared" si="13"/>
        <v>0.117</v>
      </c>
      <c r="I29" s="44">
        <f t="shared" si="14"/>
        <v>0.24750000000000003</v>
      </c>
      <c r="J29" s="44">
        <f t="shared" si="15"/>
        <v>0.8</v>
      </c>
      <c r="K29" s="44">
        <f t="shared" si="16"/>
        <v>0.07650000000000001</v>
      </c>
      <c r="L29" s="44">
        <f t="shared" si="17"/>
        <v>0.98</v>
      </c>
      <c r="M29" s="44">
        <f t="shared" si="18"/>
        <v>0.55</v>
      </c>
      <c r="N29" s="44">
        <f t="shared" si="19"/>
        <v>0.61</v>
      </c>
      <c r="O29" s="44">
        <f t="shared" si="20"/>
        <v>0.405</v>
      </c>
      <c r="P29" s="44">
        <f t="shared" si="21"/>
        <v>0.2115</v>
      </c>
      <c r="Q29" s="44">
        <v>0.25</v>
      </c>
      <c r="R29" s="44">
        <f t="shared" si="22"/>
        <v>0.17</v>
      </c>
      <c r="S29" s="44">
        <f t="shared" si="23"/>
        <v>0.0675</v>
      </c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</row>
    <row r="30" spans="1:229" ht="15">
      <c r="A30" s="25" t="s">
        <v>64</v>
      </c>
      <c r="B30" s="26">
        <v>5</v>
      </c>
      <c r="C30" s="25" t="s">
        <v>65</v>
      </c>
      <c r="D30" s="27" t="s">
        <v>107</v>
      </c>
      <c r="E30" s="28" t="s">
        <v>108</v>
      </c>
      <c r="F30" s="27" t="s">
        <v>109</v>
      </c>
      <c r="G30" s="44">
        <f t="shared" si="12"/>
        <v>0.09000000000000001</v>
      </c>
      <c r="H30" s="44">
        <f t="shared" si="13"/>
        <v>0.117</v>
      </c>
      <c r="I30" s="44">
        <f t="shared" si="14"/>
        <v>0.18000000000000002</v>
      </c>
      <c r="J30" s="44">
        <f t="shared" si="15"/>
        <v>0.8</v>
      </c>
      <c r="K30" s="44">
        <f t="shared" si="16"/>
        <v>0.108</v>
      </c>
      <c r="L30" s="44">
        <f t="shared" si="17"/>
        <v>0.98</v>
      </c>
      <c r="M30" s="44">
        <f t="shared" si="18"/>
        <v>0.5</v>
      </c>
      <c r="N30" s="44">
        <f t="shared" si="19"/>
        <v>0.71</v>
      </c>
      <c r="O30" s="44">
        <f t="shared" si="20"/>
        <v>0.405</v>
      </c>
      <c r="P30" s="44">
        <f t="shared" si="21"/>
        <v>0.12150000000000001</v>
      </c>
      <c r="Q30" s="44">
        <v>0.165</v>
      </c>
      <c r="R30" s="44">
        <f t="shared" si="22"/>
        <v>0.17</v>
      </c>
      <c r="S30" s="44">
        <f t="shared" si="23"/>
        <v>0.0675</v>
      </c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</row>
    <row r="31" spans="1:229" ht="15">
      <c r="A31" s="25" t="s">
        <v>64</v>
      </c>
      <c r="B31" s="31">
        <v>5</v>
      </c>
      <c r="C31" s="25" t="s">
        <v>66</v>
      </c>
      <c r="D31" s="27" t="s">
        <v>110</v>
      </c>
      <c r="E31" s="28" t="s">
        <v>111</v>
      </c>
      <c r="F31" s="27" t="s">
        <v>112</v>
      </c>
      <c r="G31" s="44">
        <f t="shared" si="12"/>
        <v>0.09000000000000001</v>
      </c>
      <c r="H31" s="44">
        <f t="shared" si="13"/>
        <v>0.117</v>
      </c>
      <c r="I31" s="44">
        <f t="shared" si="14"/>
        <v>0.18000000000000002</v>
      </c>
      <c r="J31" s="44">
        <f t="shared" si="15"/>
        <v>0.8</v>
      </c>
      <c r="K31" s="44">
        <f t="shared" si="16"/>
        <v>0.108</v>
      </c>
      <c r="L31" s="44">
        <f t="shared" si="17"/>
        <v>0.98</v>
      </c>
      <c r="M31" s="44">
        <f t="shared" si="18"/>
        <v>0.8</v>
      </c>
      <c r="N31" s="44">
        <f t="shared" si="19"/>
        <v>0.86</v>
      </c>
      <c r="O31" s="44">
        <f t="shared" si="20"/>
        <v>0.405</v>
      </c>
      <c r="P31" s="44">
        <f t="shared" si="21"/>
        <v>0.162</v>
      </c>
      <c r="Q31" s="44">
        <v>0.1986</v>
      </c>
      <c r="R31" s="44">
        <f t="shared" si="22"/>
        <v>0.17</v>
      </c>
      <c r="S31" s="44">
        <f t="shared" si="23"/>
        <v>0.0675</v>
      </c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</row>
    <row r="32" spans="1:229" ht="15">
      <c r="A32" s="25" t="s">
        <v>64</v>
      </c>
      <c r="B32" s="26">
        <v>5</v>
      </c>
      <c r="C32" s="25" t="s">
        <v>67</v>
      </c>
      <c r="D32" s="27" t="s">
        <v>113</v>
      </c>
      <c r="E32" s="28" t="s">
        <v>114</v>
      </c>
      <c r="F32" s="27" t="s">
        <v>115</v>
      </c>
      <c r="G32" s="44">
        <f t="shared" si="12"/>
        <v>0.09000000000000001</v>
      </c>
      <c r="H32" s="44">
        <f t="shared" si="13"/>
        <v>0.117</v>
      </c>
      <c r="I32" s="44">
        <f t="shared" si="14"/>
        <v>0.18000000000000002</v>
      </c>
      <c r="J32" s="44">
        <f t="shared" si="15"/>
        <v>0.8</v>
      </c>
      <c r="K32" s="44">
        <f t="shared" si="16"/>
        <v>0.108</v>
      </c>
      <c r="L32" s="44">
        <f t="shared" si="17"/>
        <v>0.98</v>
      </c>
      <c r="M32" s="44">
        <f t="shared" si="18"/>
        <v>0.65</v>
      </c>
      <c r="N32" s="44">
        <f t="shared" si="19"/>
        <v>0.8</v>
      </c>
      <c r="O32" s="44">
        <f t="shared" si="20"/>
        <v>0.405</v>
      </c>
      <c r="P32" s="44">
        <f t="shared" si="21"/>
        <v>0.12150000000000001</v>
      </c>
      <c r="Q32" s="44">
        <v>0.165</v>
      </c>
      <c r="R32" s="44">
        <f t="shared" si="22"/>
        <v>0.17</v>
      </c>
      <c r="S32" s="44">
        <f t="shared" si="23"/>
        <v>0.0675</v>
      </c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</row>
    <row r="33" spans="1:229" ht="15">
      <c r="A33" s="25" t="s">
        <v>64</v>
      </c>
      <c r="B33" s="31">
        <v>5</v>
      </c>
      <c r="C33" s="25" t="s">
        <v>103</v>
      </c>
      <c r="D33" s="27" t="s">
        <v>104</v>
      </c>
      <c r="E33" s="28" t="s">
        <v>105</v>
      </c>
      <c r="F33" s="27" t="s">
        <v>106</v>
      </c>
      <c r="G33" s="44">
        <f t="shared" si="12"/>
        <v>0.135</v>
      </c>
      <c r="H33" s="44">
        <f t="shared" si="13"/>
        <v>0.12600000000000003</v>
      </c>
      <c r="I33" s="44">
        <f t="shared" si="14"/>
        <v>0.2745</v>
      </c>
      <c r="J33" s="44">
        <f t="shared" si="15"/>
        <v>0.82</v>
      </c>
      <c r="K33" s="44">
        <f t="shared" si="16"/>
        <v>0.108</v>
      </c>
      <c r="L33" s="44">
        <f t="shared" si="17"/>
        <v>0.98</v>
      </c>
      <c r="M33" s="44">
        <f t="shared" si="18"/>
        <v>0.65</v>
      </c>
      <c r="N33" s="44">
        <f t="shared" si="19"/>
        <v>0.78</v>
      </c>
      <c r="O33" s="44">
        <f t="shared" si="20"/>
        <v>0.405</v>
      </c>
      <c r="P33" s="44">
        <f t="shared" si="21"/>
        <v>0.1305</v>
      </c>
      <c r="Q33" s="44">
        <v>0.20685</v>
      </c>
      <c r="R33" s="44">
        <f t="shared" si="22"/>
        <v>0.17</v>
      </c>
      <c r="S33" s="44">
        <f t="shared" si="23"/>
        <v>0.0675</v>
      </c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</row>
    <row r="35" spans="1:18" s="38" customFormat="1" ht="18">
      <c r="A35" s="268" t="s">
        <v>120</v>
      </c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11"/>
      <c r="R35" s="12"/>
    </row>
    <row r="37" spans="1:229" ht="180">
      <c r="A37" s="23" t="s">
        <v>86</v>
      </c>
      <c r="B37" s="23" t="s">
        <v>87</v>
      </c>
      <c r="C37" s="49" t="s">
        <v>0</v>
      </c>
      <c r="D37" s="23" t="s">
        <v>88</v>
      </c>
      <c r="E37" s="50" t="s">
        <v>1</v>
      </c>
      <c r="F37" s="23" t="s">
        <v>89</v>
      </c>
      <c r="G37" s="23" t="s">
        <v>90</v>
      </c>
      <c r="H37" s="23" t="s">
        <v>91</v>
      </c>
      <c r="I37" s="23" t="s">
        <v>92</v>
      </c>
      <c r="J37" s="23" t="s">
        <v>93</v>
      </c>
      <c r="K37" s="23" t="s">
        <v>94</v>
      </c>
      <c r="L37" s="23" t="s">
        <v>145</v>
      </c>
      <c r="M37" s="23" t="s">
        <v>146</v>
      </c>
      <c r="N37" s="23" t="s">
        <v>147</v>
      </c>
      <c r="O37" s="23" t="s">
        <v>95</v>
      </c>
      <c r="P37" s="51" t="s">
        <v>96</v>
      </c>
      <c r="Q37" s="51" t="s">
        <v>97</v>
      </c>
      <c r="R37" s="51" t="s">
        <v>98</v>
      </c>
      <c r="S37" s="51" t="s">
        <v>148</v>
      </c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</row>
    <row r="38" spans="1:229" ht="16.5">
      <c r="A38" s="52"/>
      <c r="B38" s="52"/>
      <c r="C38" s="53"/>
      <c r="D38" s="52"/>
      <c r="E38" s="54"/>
      <c r="F38" s="52"/>
      <c r="G38" s="13">
        <v>0.65</v>
      </c>
      <c r="H38" s="13">
        <v>0.65</v>
      </c>
      <c r="I38" s="13">
        <v>0.65</v>
      </c>
      <c r="J38" s="14">
        <v>1</v>
      </c>
      <c r="K38" s="13">
        <v>0.65</v>
      </c>
      <c r="L38" s="14">
        <v>1</v>
      </c>
      <c r="M38" s="14">
        <v>1</v>
      </c>
      <c r="N38" s="14">
        <v>1</v>
      </c>
      <c r="O38" s="13">
        <v>0.65</v>
      </c>
      <c r="P38" s="13">
        <v>0.65</v>
      </c>
      <c r="Q38" s="14">
        <v>0.75</v>
      </c>
      <c r="R38" s="14">
        <v>1</v>
      </c>
      <c r="S38" s="126">
        <v>0.65</v>
      </c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</row>
    <row r="39" spans="1:229" ht="15" customHeight="1">
      <c r="A39" s="39" t="s">
        <v>64</v>
      </c>
      <c r="B39" s="40">
        <v>5</v>
      </c>
      <c r="C39" s="41" t="s">
        <v>99</v>
      </c>
      <c r="D39" s="42" t="s">
        <v>100</v>
      </c>
      <c r="E39" s="43" t="s">
        <v>101</v>
      </c>
      <c r="F39" s="42" t="s">
        <v>102</v>
      </c>
      <c r="G39" s="44">
        <f aca="true" t="shared" si="24" ref="G39:G44">+$G4*$G$38</f>
        <v>0.1625</v>
      </c>
      <c r="H39" s="44">
        <f aca="true" t="shared" si="25" ref="H39:H44">+$H4*$H$38</f>
        <v>0.20800000000000002</v>
      </c>
      <c r="I39" s="44">
        <f aca="true" t="shared" si="26" ref="I39:I44">+$I4*$I$38</f>
        <v>0.26</v>
      </c>
      <c r="J39" s="44">
        <f aca="true" t="shared" si="27" ref="J39:J44">+$J4*$J$38</f>
        <v>0.8</v>
      </c>
      <c r="K39" s="44">
        <f aca="true" t="shared" si="28" ref="K39:K44">+$K4*$K$38</f>
        <v>0.156</v>
      </c>
      <c r="L39" s="44">
        <f aca="true" t="shared" si="29" ref="L39:L44">+$L4*$L$38</f>
        <v>0.98</v>
      </c>
      <c r="M39" s="44">
        <f aca="true" t="shared" si="30" ref="M39:M44">+$M4*$M$38</f>
        <v>0.56</v>
      </c>
      <c r="N39" s="44">
        <f aca="true" t="shared" si="31" ref="N39:N44">+$N4*$N$38</f>
        <v>0.74</v>
      </c>
      <c r="O39" s="44">
        <f aca="true" t="shared" si="32" ref="O39:O44">+$O4*$O$38</f>
        <v>0.5850000000000001</v>
      </c>
      <c r="P39" s="44">
        <f aca="true" t="shared" si="33" ref="P39:P44">+$P4*$P$38</f>
        <v>0.46799999999999997</v>
      </c>
      <c r="Q39" s="44">
        <v>0.27249999999999996</v>
      </c>
      <c r="R39" s="44">
        <f aca="true" t="shared" si="34" ref="R39:R44">+$R4*$R$38</f>
        <v>0.17</v>
      </c>
      <c r="S39" s="44">
        <f aca="true" t="shared" si="35" ref="S39:S44">+$S4*$S$38</f>
        <v>0.0975</v>
      </c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</row>
    <row r="40" spans="1:229" ht="15">
      <c r="A40" s="25" t="s">
        <v>64</v>
      </c>
      <c r="B40" s="26">
        <v>5</v>
      </c>
      <c r="C40" s="25" t="s">
        <v>68</v>
      </c>
      <c r="D40" s="33" t="s">
        <v>116</v>
      </c>
      <c r="E40" s="28" t="s">
        <v>117</v>
      </c>
      <c r="F40" s="27" t="s">
        <v>118</v>
      </c>
      <c r="G40" s="44">
        <f t="shared" si="24"/>
        <v>0.11699999999999999</v>
      </c>
      <c r="H40" s="44">
        <f t="shared" si="25"/>
        <v>0.169</v>
      </c>
      <c r="I40" s="44">
        <f t="shared" si="26"/>
        <v>0.35750000000000004</v>
      </c>
      <c r="J40" s="44">
        <f t="shared" si="27"/>
        <v>0.8</v>
      </c>
      <c r="K40" s="44">
        <f t="shared" si="28"/>
        <v>0.11050000000000001</v>
      </c>
      <c r="L40" s="44">
        <f t="shared" si="29"/>
        <v>0.98</v>
      </c>
      <c r="M40" s="44">
        <f t="shared" si="30"/>
        <v>0.55</v>
      </c>
      <c r="N40" s="44">
        <f t="shared" si="31"/>
        <v>0.61</v>
      </c>
      <c r="O40" s="44">
        <f t="shared" si="32"/>
        <v>0.5850000000000001</v>
      </c>
      <c r="P40" s="44">
        <f t="shared" si="33"/>
        <v>0.3055</v>
      </c>
      <c r="Q40" s="44">
        <v>0.265</v>
      </c>
      <c r="R40" s="44">
        <f t="shared" si="34"/>
        <v>0.17</v>
      </c>
      <c r="S40" s="44">
        <f t="shared" si="35"/>
        <v>0.0975</v>
      </c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</row>
    <row r="41" spans="1:229" ht="15">
      <c r="A41" s="25" t="s">
        <v>64</v>
      </c>
      <c r="B41" s="26">
        <v>5</v>
      </c>
      <c r="C41" s="25" t="s">
        <v>65</v>
      </c>
      <c r="D41" s="27" t="s">
        <v>107</v>
      </c>
      <c r="E41" s="28" t="s">
        <v>108</v>
      </c>
      <c r="F41" s="27" t="s">
        <v>109</v>
      </c>
      <c r="G41" s="44">
        <f t="shared" si="24"/>
        <v>0.13</v>
      </c>
      <c r="H41" s="44">
        <f t="shared" si="25"/>
        <v>0.169</v>
      </c>
      <c r="I41" s="44">
        <f t="shared" si="26"/>
        <v>0.26</v>
      </c>
      <c r="J41" s="44">
        <f t="shared" si="27"/>
        <v>0.8</v>
      </c>
      <c r="K41" s="44">
        <f t="shared" si="28"/>
        <v>0.156</v>
      </c>
      <c r="L41" s="44">
        <f t="shared" si="29"/>
        <v>0.98</v>
      </c>
      <c r="M41" s="44">
        <f t="shared" si="30"/>
        <v>0.5</v>
      </c>
      <c r="N41" s="44">
        <f t="shared" si="31"/>
        <v>0.71</v>
      </c>
      <c r="O41" s="44">
        <f t="shared" si="32"/>
        <v>0.5850000000000001</v>
      </c>
      <c r="P41" s="44">
        <f t="shared" si="33"/>
        <v>0.17550000000000002</v>
      </c>
      <c r="Q41" s="44">
        <v>0.1925</v>
      </c>
      <c r="R41" s="44">
        <f t="shared" si="34"/>
        <v>0.17</v>
      </c>
      <c r="S41" s="44">
        <f t="shared" si="35"/>
        <v>0.0975</v>
      </c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</row>
    <row r="42" spans="1:229" ht="15">
      <c r="A42" s="25" t="s">
        <v>64</v>
      </c>
      <c r="B42" s="31">
        <v>5</v>
      </c>
      <c r="C42" s="25" t="s">
        <v>66</v>
      </c>
      <c r="D42" s="27" t="s">
        <v>110</v>
      </c>
      <c r="E42" s="28" t="s">
        <v>111</v>
      </c>
      <c r="F42" s="27" t="s">
        <v>112</v>
      </c>
      <c r="G42" s="44">
        <f t="shared" si="24"/>
        <v>0.13</v>
      </c>
      <c r="H42" s="44">
        <f t="shared" si="25"/>
        <v>0.169</v>
      </c>
      <c r="I42" s="44">
        <f t="shared" si="26"/>
        <v>0.26</v>
      </c>
      <c r="J42" s="44">
        <f t="shared" si="27"/>
        <v>0.8</v>
      </c>
      <c r="K42" s="44">
        <f t="shared" si="28"/>
        <v>0.156</v>
      </c>
      <c r="L42" s="44">
        <f t="shared" si="29"/>
        <v>0.98</v>
      </c>
      <c r="M42" s="44">
        <f t="shared" si="30"/>
        <v>0.8</v>
      </c>
      <c r="N42" s="44">
        <f t="shared" si="31"/>
        <v>0.86</v>
      </c>
      <c r="O42" s="44">
        <f t="shared" si="32"/>
        <v>0.5850000000000001</v>
      </c>
      <c r="P42" s="44">
        <f t="shared" si="33"/>
        <v>0.23399999999999999</v>
      </c>
      <c r="Q42" s="44">
        <v>0.20929999999999999</v>
      </c>
      <c r="R42" s="44">
        <f t="shared" si="34"/>
        <v>0.17</v>
      </c>
      <c r="S42" s="44">
        <f t="shared" si="35"/>
        <v>0.0975</v>
      </c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</row>
    <row r="43" spans="1:229" ht="15">
      <c r="A43" s="25" t="s">
        <v>64</v>
      </c>
      <c r="B43" s="26">
        <v>5</v>
      </c>
      <c r="C43" s="25" t="s">
        <v>67</v>
      </c>
      <c r="D43" s="27" t="s">
        <v>113</v>
      </c>
      <c r="E43" s="28" t="s">
        <v>114</v>
      </c>
      <c r="F43" s="27" t="s">
        <v>115</v>
      </c>
      <c r="G43" s="44">
        <f t="shared" si="24"/>
        <v>0.13</v>
      </c>
      <c r="H43" s="44">
        <f t="shared" si="25"/>
        <v>0.169</v>
      </c>
      <c r="I43" s="44">
        <f t="shared" si="26"/>
        <v>0.26</v>
      </c>
      <c r="J43" s="44">
        <f t="shared" si="27"/>
        <v>0.8</v>
      </c>
      <c r="K43" s="44">
        <f t="shared" si="28"/>
        <v>0.156</v>
      </c>
      <c r="L43" s="44">
        <f t="shared" si="29"/>
        <v>0.98</v>
      </c>
      <c r="M43" s="44">
        <f t="shared" si="30"/>
        <v>0.65</v>
      </c>
      <c r="N43" s="44">
        <f t="shared" si="31"/>
        <v>0.8</v>
      </c>
      <c r="O43" s="44">
        <f t="shared" si="32"/>
        <v>0.5850000000000001</v>
      </c>
      <c r="P43" s="44">
        <f t="shared" si="33"/>
        <v>0.17550000000000002</v>
      </c>
      <c r="Q43" s="44">
        <v>0.1925</v>
      </c>
      <c r="R43" s="44">
        <f t="shared" si="34"/>
        <v>0.17</v>
      </c>
      <c r="S43" s="44">
        <f t="shared" si="35"/>
        <v>0.0975</v>
      </c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</row>
    <row r="44" spans="1:229" ht="15">
      <c r="A44" s="25" t="s">
        <v>64</v>
      </c>
      <c r="B44" s="31">
        <v>5</v>
      </c>
      <c r="C44" s="25" t="s">
        <v>103</v>
      </c>
      <c r="D44" s="27" t="s">
        <v>104</v>
      </c>
      <c r="E44" s="28" t="s">
        <v>105</v>
      </c>
      <c r="F44" s="27" t="s">
        <v>106</v>
      </c>
      <c r="G44" s="44">
        <f t="shared" si="24"/>
        <v>0.195</v>
      </c>
      <c r="H44" s="44">
        <f t="shared" si="25"/>
        <v>0.18200000000000002</v>
      </c>
      <c r="I44" s="44">
        <f t="shared" si="26"/>
        <v>0.3965</v>
      </c>
      <c r="J44" s="44">
        <f t="shared" si="27"/>
        <v>0.82</v>
      </c>
      <c r="K44" s="44">
        <f t="shared" si="28"/>
        <v>0.156</v>
      </c>
      <c r="L44" s="44">
        <f t="shared" si="29"/>
        <v>0.98</v>
      </c>
      <c r="M44" s="44">
        <f t="shared" si="30"/>
        <v>0.65</v>
      </c>
      <c r="N44" s="44">
        <f t="shared" si="31"/>
        <v>0.78</v>
      </c>
      <c r="O44" s="44">
        <f t="shared" si="32"/>
        <v>0.5850000000000001</v>
      </c>
      <c r="P44" s="44">
        <f t="shared" si="33"/>
        <v>0.1885</v>
      </c>
      <c r="Q44" s="44">
        <v>0.213425</v>
      </c>
      <c r="R44" s="44">
        <f t="shared" si="34"/>
        <v>0.17</v>
      </c>
      <c r="S44" s="44">
        <f t="shared" si="35"/>
        <v>0.0975</v>
      </c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</row>
    <row r="46" spans="1:18" s="38" customFormat="1" ht="18">
      <c r="A46" s="268" t="s">
        <v>121</v>
      </c>
      <c r="B46" s="268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11"/>
      <c r="R46" s="12"/>
    </row>
    <row r="48" spans="1:229" ht="180">
      <c r="A48" s="23" t="s">
        <v>86</v>
      </c>
      <c r="B48" s="23" t="s">
        <v>87</v>
      </c>
      <c r="C48" s="49" t="s">
        <v>0</v>
      </c>
      <c r="D48" s="23" t="s">
        <v>88</v>
      </c>
      <c r="E48" s="50" t="s">
        <v>1</v>
      </c>
      <c r="F48" s="23" t="s">
        <v>89</v>
      </c>
      <c r="G48" s="23" t="s">
        <v>90</v>
      </c>
      <c r="H48" s="23" t="s">
        <v>91</v>
      </c>
      <c r="I48" s="23" t="s">
        <v>92</v>
      </c>
      <c r="J48" s="23" t="s">
        <v>93</v>
      </c>
      <c r="K48" s="23" t="s">
        <v>94</v>
      </c>
      <c r="L48" s="23" t="s">
        <v>145</v>
      </c>
      <c r="M48" s="23" t="s">
        <v>146</v>
      </c>
      <c r="N48" s="23" t="s">
        <v>147</v>
      </c>
      <c r="O48" s="23" t="s">
        <v>95</v>
      </c>
      <c r="P48" s="51" t="s">
        <v>96</v>
      </c>
      <c r="Q48" s="51" t="s">
        <v>97</v>
      </c>
      <c r="R48" s="51" t="s">
        <v>98</v>
      </c>
      <c r="S48" s="51" t="s">
        <v>148</v>
      </c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</row>
    <row r="49" spans="1:229" ht="16.5">
      <c r="A49" s="52"/>
      <c r="B49" s="52"/>
      <c r="C49" s="53"/>
      <c r="D49" s="52"/>
      <c r="E49" s="54"/>
      <c r="F49" s="52"/>
      <c r="G49" s="13">
        <v>0.83</v>
      </c>
      <c r="H49" s="13">
        <v>0.83</v>
      </c>
      <c r="I49" s="13">
        <v>0.83</v>
      </c>
      <c r="J49" s="14">
        <v>1</v>
      </c>
      <c r="K49" s="13">
        <v>0.83</v>
      </c>
      <c r="L49" s="14">
        <v>1</v>
      </c>
      <c r="M49" s="14">
        <v>1</v>
      </c>
      <c r="N49" s="14">
        <v>1</v>
      </c>
      <c r="O49" s="13">
        <v>0.83</v>
      </c>
      <c r="P49" s="13">
        <v>0.83</v>
      </c>
      <c r="Q49" s="14">
        <v>1</v>
      </c>
      <c r="R49" s="14">
        <v>1</v>
      </c>
      <c r="S49" s="126">
        <v>0.83</v>
      </c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</row>
    <row r="50" spans="1:229" ht="15" customHeight="1">
      <c r="A50" s="39" t="s">
        <v>64</v>
      </c>
      <c r="B50" s="40">
        <v>5</v>
      </c>
      <c r="C50" s="41" t="s">
        <v>99</v>
      </c>
      <c r="D50" s="42" t="s">
        <v>100</v>
      </c>
      <c r="E50" s="43" t="s">
        <v>101</v>
      </c>
      <c r="F50" s="42" t="s">
        <v>102</v>
      </c>
      <c r="G50" s="44">
        <f aca="true" t="shared" si="36" ref="G50:G55">+$G4*$G$49</f>
        <v>0.2075</v>
      </c>
      <c r="H50" s="44">
        <f aca="true" t="shared" si="37" ref="H50:H55">+$H4*$H$49</f>
        <v>0.2656</v>
      </c>
      <c r="I50" s="44">
        <f aca="true" t="shared" si="38" ref="I50:I55">+$I4*$I$49</f>
        <v>0.332</v>
      </c>
      <c r="J50" s="44">
        <f aca="true" t="shared" si="39" ref="J50:J55">+$J4*$J$49</f>
        <v>0.8</v>
      </c>
      <c r="K50" s="44">
        <f aca="true" t="shared" si="40" ref="K50:K55">+$K4*$K$49</f>
        <v>0.1992</v>
      </c>
      <c r="L50" s="44">
        <f aca="true" t="shared" si="41" ref="L50:L55">+$L4*$L$49</f>
        <v>0.98</v>
      </c>
      <c r="M50" s="44">
        <f aca="true" t="shared" si="42" ref="M50:M55">+$M4*$M$49</f>
        <v>0.56</v>
      </c>
      <c r="N50" s="44">
        <f aca="true" t="shared" si="43" ref="N50:N55">+$N4*$N$49</f>
        <v>0.74</v>
      </c>
      <c r="O50" s="44">
        <f aca="true" t="shared" si="44" ref="O50:O55">+$O4*$O$49</f>
        <v>0.747</v>
      </c>
      <c r="P50" s="44">
        <f aca="true" t="shared" si="45" ref="P50:P55">+$P4*$P$49</f>
        <v>0.5975999999999999</v>
      </c>
      <c r="Q50" s="44">
        <v>0.29</v>
      </c>
      <c r="R50" s="44">
        <f aca="true" t="shared" si="46" ref="R50:R55">+$R4*$R$49</f>
        <v>0.17</v>
      </c>
      <c r="S50" s="44">
        <f aca="true" t="shared" si="47" ref="S50:S55">+$S4*$S$49</f>
        <v>0.12449999999999999</v>
      </c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</row>
    <row r="51" spans="1:229" ht="15">
      <c r="A51" s="25" t="s">
        <v>64</v>
      </c>
      <c r="B51" s="26">
        <v>5</v>
      </c>
      <c r="C51" s="25" t="s">
        <v>68</v>
      </c>
      <c r="D51" s="33" t="s">
        <v>116</v>
      </c>
      <c r="E51" s="28" t="s">
        <v>117</v>
      </c>
      <c r="F51" s="27" t="s">
        <v>118</v>
      </c>
      <c r="G51" s="44">
        <f t="shared" si="36"/>
        <v>0.14939999999999998</v>
      </c>
      <c r="H51" s="44">
        <f t="shared" si="37"/>
        <v>0.2158</v>
      </c>
      <c r="I51" s="44">
        <f t="shared" si="38"/>
        <v>0.4565</v>
      </c>
      <c r="J51" s="44">
        <f t="shared" si="39"/>
        <v>0.8</v>
      </c>
      <c r="K51" s="44">
        <f t="shared" si="40"/>
        <v>0.1411</v>
      </c>
      <c r="L51" s="44">
        <f t="shared" si="41"/>
        <v>0.98</v>
      </c>
      <c r="M51" s="44">
        <f t="shared" si="42"/>
        <v>0.55</v>
      </c>
      <c r="N51" s="44">
        <f t="shared" si="43"/>
        <v>0.61</v>
      </c>
      <c r="O51" s="44">
        <f t="shared" si="44"/>
        <v>0.747</v>
      </c>
      <c r="P51" s="44">
        <f t="shared" si="45"/>
        <v>0.39009999999999995</v>
      </c>
      <c r="Q51" s="44">
        <v>0.28</v>
      </c>
      <c r="R51" s="44">
        <f t="shared" si="46"/>
        <v>0.17</v>
      </c>
      <c r="S51" s="44">
        <f t="shared" si="47"/>
        <v>0.12449999999999999</v>
      </c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</row>
    <row r="52" spans="1:229" ht="15">
      <c r="A52" s="25" t="s">
        <v>64</v>
      </c>
      <c r="B52" s="26">
        <v>5</v>
      </c>
      <c r="C52" s="25" t="s">
        <v>65</v>
      </c>
      <c r="D52" s="27" t="s">
        <v>107</v>
      </c>
      <c r="E52" s="28" t="s">
        <v>108</v>
      </c>
      <c r="F52" s="27" t="s">
        <v>109</v>
      </c>
      <c r="G52" s="44">
        <f t="shared" si="36"/>
        <v>0.166</v>
      </c>
      <c r="H52" s="44">
        <f t="shared" si="37"/>
        <v>0.2158</v>
      </c>
      <c r="I52" s="44">
        <f t="shared" si="38"/>
        <v>0.332</v>
      </c>
      <c r="J52" s="44">
        <f t="shared" si="39"/>
        <v>0.8</v>
      </c>
      <c r="K52" s="44">
        <f t="shared" si="40"/>
        <v>0.1992</v>
      </c>
      <c r="L52" s="44">
        <f t="shared" si="41"/>
        <v>0.98</v>
      </c>
      <c r="M52" s="44">
        <f t="shared" si="42"/>
        <v>0.5</v>
      </c>
      <c r="N52" s="44">
        <f t="shared" si="43"/>
        <v>0.71</v>
      </c>
      <c r="O52" s="44">
        <f t="shared" si="44"/>
        <v>0.747</v>
      </c>
      <c r="P52" s="44">
        <f t="shared" si="45"/>
        <v>0.2241</v>
      </c>
      <c r="Q52" s="44">
        <v>0.22</v>
      </c>
      <c r="R52" s="44">
        <f t="shared" si="46"/>
        <v>0.17</v>
      </c>
      <c r="S52" s="44">
        <f t="shared" si="47"/>
        <v>0.12449999999999999</v>
      </c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</row>
    <row r="53" spans="1:229" ht="15">
      <c r="A53" s="25" t="s">
        <v>64</v>
      </c>
      <c r="B53" s="31">
        <v>5</v>
      </c>
      <c r="C53" s="25" t="s">
        <v>66</v>
      </c>
      <c r="D53" s="27" t="s">
        <v>110</v>
      </c>
      <c r="E53" s="28" t="s">
        <v>111</v>
      </c>
      <c r="F53" s="27" t="s">
        <v>112</v>
      </c>
      <c r="G53" s="44">
        <f t="shared" si="36"/>
        <v>0.166</v>
      </c>
      <c r="H53" s="44">
        <f t="shared" si="37"/>
        <v>0.2158</v>
      </c>
      <c r="I53" s="44">
        <f t="shared" si="38"/>
        <v>0.332</v>
      </c>
      <c r="J53" s="44">
        <f t="shared" si="39"/>
        <v>0.8</v>
      </c>
      <c r="K53" s="44">
        <f t="shared" si="40"/>
        <v>0.1992</v>
      </c>
      <c r="L53" s="44">
        <f t="shared" si="41"/>
        <v>0.98</v>
      </c>
      <c r="M53" s="44">
        <f t="shared" si="42"/>
        <v>0.8</v>
      </c>
      <c r="N53" s="44">
        <f t="shared" si="43"/>
        <v>0.86</v>
      </c>
      <c r="O53" s="44">
        <f t="shared" si="44"/>
        <v>0.747</v>
      </c>
      <c r="P53" s="44">
        <f t="shared" si="45"/>
        <v>0.29879999999999995</v>
      </c>
      <c r="Q53" s="44">
        <v>0.22</v>
      </c>
      <c r="R53" s="44">
        <f t="shared" si="46"/>
        <v>0.17</v>
      </c>
      <c r="S53" s="44">
        <f t="shared" si="47"/>
        <v>0.12449999999999999</v>
      </c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</row>
    <row r="54" spans="1:229" ht="15">
      <c r="A54" s="25" t="s">
        <v>64</v>
      </c>
      <c r="B54" s="26">
        <v>5</v>
      </c>
      <c r="C54" s="25" t="s">
        <v>67</v>
      </c>
      <c r="D54" s="27" t="s">
        <v>113</v>
      </c>
      <c r="E54" s="28" t="s">
        <v>114</v>
      </c>
      <c r="F54" s="27" t="s">
        <v>115</v>
      </c>
      <c r="G54" s="44">
        <f t="shared" si="36"/>
        <v>0.166</v>
      </c>
      <c r="H54" s="44">
        <f t="shared" si="37"/>
        <v>0.2158</v>
      </c>
      <c r="I54" s="44">
        <f t="shared" si="38"/>
        <v>0.332</v>
      </c>
      <c r="J54" s="44">
        <f t="shared" si="39"/>
        <v>0.8</v>
      </c>
      <c r="K54" s="44">
        <f t="shared" si="40"/>
        <v>0.1992</v>
      </c>
      <c r="L54" s="44">
        <f t="shared" si="41"/>
        <v>0.98</v>
      </c>
      <c r="M54" s="44">
        <f t="shared" si="42"/>
        <v>0.65</v>
      </c>
      <c r="N54" s="44">
        <f t="shared" si="43"/>
        <v>0.8</v>
      </c>
      <c r="O54" s="44">
        <f t="shared" si="44"/>
        <v>0.747</v>
      </c>
      <c r="P54" s="44">
        <f t="shared" si="45"/>
        <v>0.2241</v>
      </c>
      <c r="Q54" s="44">
        <v>0.22</v>
      </c>
      <c r="R54" s="44">
        <f t="shared" si="46"/>
        <v>0.17</v>
      </c>
      <c r="S54" s="44">
        <f t="shared" si="47"/>
        <v>0.12449999999999999</v>
      </c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</row>
    <row r="55" spans="1:229" ht="15">
      <c r="A55" s="25" t="s">
        <v>64</v>
      </c>
      <c r="B55" s="31">
        <v>5</v>
      </c>
      <c r="C55" s="25" t="s">
        <v>103</v>
      </c>
      <c r="D55" s="27" t="s">
        <v>104</v>
      </c>
      <c r="E55" s="28" t="s">
        <v>105</v>
      </c>
      <c r="F55" s="27" t="s">
        <v>106</v>
      </c>
      <c r="G55" s="44">
        <f t="shared" si="36"/>
        <v>0.24899999999999997</v>
      </c>
      <c r="H55" s="44">
        <f t="shared" si="37"/>
        <v>0.23240000000000002</v>
      </c>
      <c r="I55" s="44">
        <f t="shared" si="38"/>
        <v>0.5063</v>
      </c>
      <c r="J55" s="44">
        <f t="shared" si="39"/>
        <v>0.82</v>
      </c>
      <c r="K55" s="44">
        <f t="shared" si="40"/>
        <v>0.1992</v>
      </c>
      <c r="L55" s="44">
        <f t="shared" si="41"/>
        <v>0.98</v>
      </c>
      <c r="M55" s="44">
        <f t="shared" si="42"/>
        <v>0.65</v>
      </c>
      <c r="N55" s="44">
        <f t="shared" si="43"/>
        <v>0.78</v>
      </c>
      <c r="O55" s="44">
        <f t="shared" si="44"/>
        <v>0.747</v>
      </c>
      <c r="P55" s="44">
        <f t="shared" si="45"/>
        <v>0.24069999999999997</v>
      </c>
      <c r="Q55" s="44">
        <v>0.22</v>
      </c>
      <c r="R55" s="44">
        <f t="shared" si="46"/>
        <v>0.17</v>
      </c>
      <c r="S55" s="44">
        <f t="shared" si="47"/>
        <v>0.12449999999999999</v>
      </c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</row>
    <row r="59" spans="1:18" s="38" customFormat="1" ht="18">
      <c r="A59" s="268" t="s">
        <v>73</v>
      </c>
      <c r="B59" s="268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11"/>
      <c r="R59" s="12"/>
    </row>
    <row r="61" spans="1:229" ht="180">
      <c r="A61" s="23" t="s">
        <v>86</v>
      </c>
      <c r="B61" s="23" t="s">
        <v>87</v>
      </c>
      <c r="C61" s="49" t="s">
        <v>0</v>
      </c>
      <c r="D61" s="23" t="s">
        <v>88</v>
      </c>
      <c r="E61" s="50" t="s">
        <v>1</v>
      </c>
      <c r="F61" s="23" t="s">
        <v>89</v>
      </c>
      <c r="G61" s="23" t="s">
        <v>90</v>
      </c>
      <c r="H61" s="23" t="s">
        <v>91</v>
      </c>
      <c r="I61" s="23" t="s">
        <v>92</v>
      </c>
      <c r="J61" s="23" t="s">
        <v>93</v>
      </c>
      <c r="K61" s="23" t="s">
        <v>94</v>
      </c>
      <c r="L61" s="23" t="s">
        <v>145</v>
      </c>
      <c r="M61" s="23" t="s">
        <v>146</v>
      </c>
      <c r="N61" s="23" t="s">
        <v>147</v>
      </c>
      <c r="O61" s="23" t="s">
        <v>95</v>
      </c>
      <c r="P61" s="51" t="s">
        <v>96</v>
      </c>
      <c r="Q61" s="51" t="s">
        <v>97</v>
      </c>
      <c r="R61" s="51" t="s">
        <v>98</v>
      </c>
      <c r="S61" s="51" t="s">
        <v>148</v>
      </c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</row>
    <row r="62" spans="1:229" ht="16.5">
      <c r="A62" s="52"/>
      <c r="B62" s="52"/>
      <c r="C62" s="53"/>
      <c r="D62" s="52"/>
      <c r="E62" s="54"/>
      <c r="F62" s="52"/>
      <c r="G62" s="13">
        <v>1</v>
      </c>
      <c r="H62" s="13">
        <v>1</v>
      </c>
      <c r="I62" s="13">
        <v>1</v>
      </c>
      <c r="J62" s="14">
        <v>1</v>
      </c>
      <c r="K62" s="13">
        <v>1</v>
      </c>
      <c r="L62" s="14">
        <v>1</v>
      </c>
      <c r="M62" s="14">
        <v>1</v>
      </c>
      <c r="N62" s="14">
        <v>1</v>
      </c>
      <c r="O62" s="13">
        <v>1</v>
      </c>
      <c r="P62" s="13">
        <v>1</v>
      </c>
      <c r="Q62" s="14">
        <v>1</v>
      </c>
      <c r="R62" s="14">
        <v>1</v>
      </c>
      <c r="S62" s="126">
        <v>1</v>
      </c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</row>
    <row r="63" spans="1:229" ht="15" customHeight="1">
      <c r="A63" s="39" t="s">
        <v>64</v>
      </c>
      <c r="B63" s="40">
        <v>5</v>
      </c>
      <c r="C63" s="41" t="s">
        <v>99</v>
      </c>
      <c r="D63" s="42" t="s">
        <v>100</v>
      </c>
      <c r="E63" s="43" t="s">
        <v>101</v>
      </c>
      <c r="F63" s="42" t="s">
        <v>102</v>
      </c>
      <c r="G63" s="44">
        <f aca="true" t="shared" si="48" ref="G63:G68">+$G4*$G$62</f>
        <v>0.25</v>
      </c>
      <c r="H63" s="44">
        <f aca="true" t="shared" si="49" ref="H63:H68">+$H4*$H$62</f>
        <v>0.32</v>
      </c>
      <c r="I63" s="44">
        <f aca="true" t="shared" si="50" ref="I63:I68">+$I4*$I$62</f>
        <v>0.4</v>
      </c>
      <c r="J63" s="44">
        <f aca="true" t="shared" si="51" ref="J63:J68">+$J4*$J$62</f>
        <v>0.8</v>
      </c>
      <c r="K63" s="44">
        <f aca="true" t="shared" si="52" ref="K63:K68">+$K4*$K$62</f>
        <v>0.24</v>
      </c>
      <c r="L63" s="44">
        <f aca="true" t="shared" si="53" ref="L63:L68">+$L4*$L$62</f>
        <v>0.98</v>
      </c>
      <c r="M63" s="44">
        <f aca="true" t="shared" si="54" ref="M63:M68">+$M4*$M$62</f>
        <v>0.56</v>
      </c>
      <c r="N63" s="44">
        <f aca="true" t="shared" si="55" ref="N63:N68">+$N4*$N$62</f>
        <v>0.74</v>
      </c>
      <c r="O63" s="44">
        <f aca="true" t="shared" si="56" ref="O63:O68">+$O4*$O$62</f>
        <v>0.9</v>
      </c>
      <c r="P63" s="44">
        <f aca="true" t="shared" si="57" ref="P63:P68">+$P4*$P$62</f>
        <v>0.72</v>
      </c>
      <c r="Q63" s="44">
        <f>+$Q4*$Q$62</f>
        <v>0.29</v>
      </c>
      <c r="R63" s="44">
        <f aca="true" t="shared" si="58" ref="R63:R68">+$R4*$R$62</f>
        <v>0.17</v>
      </c>
      <c r="S63" s="44">
        <f aca="true" t="shared" si="59" ref="S63:S68">+$S4*$S$62</f>
        <v>0.15</v>
      </c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</row>
    <row r="64" spans="1:229" ht="15">
      <c r="A64" s="25" t="s">
        <v>64</v>
      </c>
      <c r="B64" s="26">
        <v>5</v>
      </c>
      <c r="C64" s="25" t="s">
        <v>68</v>
      </c>
      <c r="D64" s="33" t="s">
        <v>116</v>
      </c>
      <c r="E64" s="28" t="s">
        <v>117</v>
      </c>
      <c r="F64" s="27" t="s">
        <v>118</v>
      </c>
      <c r="G64" s="44">
        <f t="shared" si="48"/>
        <v>0.18</v>
      </c>
      <c r="H64" s="44">
        <f t="shared" si="49"/>
        <v>0.26</v>
      </c>
      <c r="I64" s="44">
        <f t="shared" si="50"/>
        <v>0.55</v>
      </c>
      <c r="J64" s="44">
        <f t="shared" si="51"/>
        <v>0.8</v>
      </c>
      <c r="K64" s="44">
        <f t="shared" si="52"/>
        <v>0.17</v>
      </c>
      <c r="L64" s="44">
        <f t="shared" si="53"/>
        <v>0.98</v>
      </c>
      <c r="M64" s="44">
        <f t="shared" si="54"/>
        <v>0.55</v>
      </c>
      <c r="N64" s="44">
        <f t="shared" si="55"/>
        <v>0.61</v>
      </c>
      <c r="O64" s="44">
        <f t="shared" si="56"/>
        <v>0.9</v>
      </c>
      <c r="P64" s="44">
        <f t="shared" si="57"/>
        <v>0.47</v>
      </c>
      <c r="Q64" s="44">
        <f>+$Q5*$Q$62</f>
        <v>0.28</v>
      </c>
      <c r="R64" s="44">
        <f t="shared" si="58"/>
        <v>0.17</v>
      </c>
      <c r="S64" s="44">
        <f t="shared" si="59"/>
        <v>0.15</v>
      </c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</row>
    <row r="65" spans="1:229" ht="15">
      <c r="A65" s="25" t="s">
        <v>64</v>
      </c>
      <c r="B65" s="26">
        <v>5</v>
      </c>
      <c r="C65" s="25" t="s">
        <v>65</v>
      </c>
      <c r="D65" s="27" t="s">
        <v>107</v>
      </c>
      <c r="E65" s="28" t="s">
        <v>108</v>
      </c>
      <c r="F65" s="27" t="s">
        <v>109</v>
      </c>
      <c r="G65" s="44">
        <f t="shared" si="48"/>
        <v>0.2</v>
      </c>
      <c r="H65" s="44">
        <f t="shared" si="49"/>
        <v>0.26</v>
      </c>
      <c r="I65" s="44">
        <f t="shared" si="50"/>
        <v>0.4</v>
      </c>
      <c r="J65" s="44">
        <f t="shared" si="51"/>
        <v>0.8</v>
      </c>
      <c r="K65" s="44">
        <f t="shared" si="52"/>
        <v>0.24</v>
      </c>
      <c r="L65" s="44">
        <f t="shared" si="53"/>
        <v>0.98</v>
      </c>
      <c r="M65" s="44">
        <f t="shared" si="54"/>
        <v>0.5</v>
      </c>
      <c r="N65" s="44">
        <f t="shared" si="55"/>
        <v>0.71</v>
      </c>
      <c r="O65" s="44">
        <f t="shared" si="56"/>
        <v>0.9</v>
      </c>
      <c r="P65" s="44">
        <f t="shared" si="57"/>
        <v>0.27</v>
      </c>
      <c r="Q65" s="44">
        <f>+$Q6*$Q$62</f>
        <v>0.22</v>
      </c>
      <c r="R65" s="44">
        <f t="shared" si="58"/>
        <v>0.17</v>
      </c>
      <c r="S65" s="44">
        <f t="shared" si="59"/>
        <v>0.15</v>
      </c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</row>
    <row r="66" spans="1:229" ht="15">
      <c r="A66" s="25" t="s">
        <v>64</v>
      </c>
      <c r="B66" s="31">
        <v>5</v>
      </c>
      <c r="C66" s="25" t="s">
        <v>66</v>
      </c>
      <c r="D66" s="27" t="s">
        <v>110</v>
      </c>
      <c r="E66" s="28" t="s">
        <v>111</v>
      </c>
      <c r="F66" s="27" t="s">
        <v>112</v>
      </c>
      <c r="G66" s="44">
        <f t="shared" si="48"/>
        <v>0.2</v>
      </c>
      <c r="H66" s="44">
        <f t="shared" si="49"/>
        <v>0.26</v>
      </c>
      <c r="I66" s="44">
        <f t="shared" si="50"/>
        <v>0.4</v>
      </c>
      <c r="J66" s="44">
        <f t="shared" si="51"/>
        <v>0.8</v>
      </c>
      <c r="K66" s="44">
        <f t="shared" si="52"/>
        <v>0.24</v>
      </c>
      <c r="L66" s="44">
        <f t="shared" si="53"/>
        <v>0.98</v>
      </c>
      <c r="M66" s="44">
        <f t="shared" si="54"/>
        <v>0.8</v>
      </c>
      <c r="N66" s="44">
        <f t="shared" si="55"/>
        <v>0.86</v>
      </c>
      <c r="O66" s="44">
        <f t="shared" si="56"/>
        <v>0.9</v>
      </c>
      <c r="P66" s="44">
        <f t="shared" si="57"/>
        <v>0.36</v>
      </c>
      <c r="Q66" s="44">
        <f>+$Q7*$Q$62</f>
        <v>0.22</v>
      </c>
      <c r="R66" s="44">
        <f t="shared" si="58"/>
        <v>0.17</v>
      </c>
      <c r="S66" s="44">
        <f t="shared" si="59"/>
        <v>0.15</v>
      </c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</row>
    <row r="67" spans="1:229" ht="15">
      <c r="A67" s="25" t="s">
        <v>64</v>
      </c>
      <c r="B67" s="26">
        <v>5</v>
      </c>
      <c r="C67" s="25" t="s">
        <v>67</v>
      </c>
      <c r="D67" s="27" t="s">
        <v>113</v>
      </c>
      <c r="E67" s="28" t="s">
        <v>114</v>
      </c>
      <c r="F67" s="27" t="s">
        <v>115</v>
      </c>
      <c r="G67" s="44">
        <f t="shared" si="48"/>
        <v>0.2</v>
      </c>
      <c r="H67" s="44">
        <f t="shared" si="49"/>
        <v>0.26</v>
      </c>
      <c r="I67" s="44">
        <f t="shared" si="50"/>
        <v>0.4</v>
      </c>
      <c r="J67" s="44">
        <f t="shared" si="51"/>
        <v>0.8</v>
      </c>
      <c r="K67" s="44">
        <f t="shared" si="52"/>
        <v>0.24</v>
      </c>
      <c r="L67" s="44">
        <f t="shared" si="53"/>
        <v>0.98</v>
      </c>
      <c r="M67" s="44">
        <f t="shared" si="54"/>
        <v>0.65</v>
      </c>
      <c r="N67" s="44">
        <f t="shared" si="55"/>
        <v>0.8</v>
      </c>
      <c r="O67" s="44">
        <f t="shared" si="56"/>
        <v>0.9</v>
      </c>
      <c r="P67" s="44">
        <f t="shared" si="57"/>
        <v>0.27</v>
      </c>
      <c r="Q67" s="44">
        <f>+$Q8*$Q$62</f>
        <v>0.22</v>
      </c>
      <c r="R67" s="44">
        <f t="shared" si="58"/>
        <v>0.17</v>
      </c>
      <c r="S67" s="44">
        <f t="shared" si="59"/>
        <v>0.15</v>
      </c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</row>
    <row r="68" spans="1:229" ht="15">
      <c r="A68" s="25" t="s">
        <v>64</v>
      </c>
      <c r="B68" s="31">
        <v>5</v>
      </c>
      <c r="C68" s="25" t="s">
        <v>103</v>
      </c>
      <c r="D68" s="27" t="s">
        <v>104</v>
      </c>
      <c r="E68" s="28" t="s">
        <v>105</v>
      </c>
      <c r="F68" s="27" t="s">
        <v>106</v>
      </c>
      <c r="G68" s="44">
        <f t="shared" si="48"/>
        <v>0.3</v>
      </c>
      <c r="H68" s="44">
        <f t="shared" si="49"/>
        <v>0.28</v>
      </c>
      <c r="I68" s="44">
        <f t="shared" si="50"/>
        <v>0.61</v>
      </c>
      <c r="J68" s="44">
        <f t="shared" si="51"/>
        <v>0.82</v>
      </c>
      <c r="K68" s="44">
        <f t="shared" si="52"/>
        <v>0.24</v>
      </c>
      <c r="L68" s="44">
        <f t="shared" si="53"/>
        <v>0.98</v>
      </c>
      <c r="M68" s="44">
        <f t="shared" si="54"/>
        <v>0.65</v>
      </c>
      <c r="N68" s="44">
        <f t="shared" si="55"/>
        <v>0.78</v>
      </c>
      <c r="O68" s="44">
        <f t="shared" si="56"/>
        <v>0.9</v>
      </c>
      <c r="P68" s="44">
        <f t="shared" si="57"/>
        <v>0.29</v>
      </c>
      <c r="Q68" s="44">
        <f>+$Q9*$Q$62</f>
        <v>0.22</v>
      </c>
      <c r="R68" s="44">
        <f t="shared" si="58"/>
        <v>0.17</v>
      </c>
      <c r="S68" s="44">
        <f t="shared" si="59"/>
        <v>0.15</v>
      </c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</row>
  </sheetData>
  <sheetProtection/>
  <mergeCells count="6">
    <mergeCell ref="A13:P13"/>
    <mergeCell ref="A59:P59"/>
    <mergeCell ref="A1:P1"/>
    <mergeCell ref="A24:P24"/>
    <mergeCell ref="A46:P46"/>
    <mergeCell ref="A35:P3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21"/>
  <sheetViews>
    <sheetView zoomScalePageLayoutView="0" workbookViewId="0" topLeftCell="A1">
      <pane xSplit="2" ySplit="11" topLeftCell="C12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C17" sqref="C17"/>
    </sheetView>
  </sheetViews>
  <sheetFormatPr defaultColWidth="11.421875" defaultRowHeight="15"/>
  <cols>
    <col min="1" max="1" width="31.57421875" style="0" bestFit="1" customWidth="1"/>
    <col min="2" max="2" width="35.28125" style="0" bestFit="1" customWidth="1"/>
    <col min="3" max="3" width="14.421875" style="0" customWidth="1"/>
    <col min="4" max="4" width="11.00390625" style="0" bestFit="1" customWidth="1"/>
    <col min="5" max="5" width="6.421875" style="0" bestFit="1" customWidth="1"/>
    <col min="6" max="6" width="8.57421875" style="0" bestFit="1" customWidth="1"/>
    <col min="7" max="7" width="6.8515625" style="0" bestFit="1" customWidth="1"/>
    <col min="8" max="8" width="6.140625" style="0" bestFit="1" customWidth="1"/>
    <col min="9" max="9" width="5.8515625" style="0" bestFit="1" customWidth="1"/>
    <col min="10" max="10" width="5.7109375" style="0" bestFit="1" customWidth="1"/>
    <col min="11" max="11" width="6.140625" style="0" bestFit="1" customWidth="1"/>
    <col min="12" max="12" width="7.8515625" style="0" customWidth="1"/>
    <col min="13" max="13" width="7.421875" style="0" bestFit="1" customWidth="1"/>
    <col min="14" max="14" width="7.57421875" style="0" bestFit="1" customWidth="1"/>
    <col min="15" max="15" width="8.57421875" style="0" customWidth="1"/>
    <col min="16" max="16" width="6.8515625" style="0" customWidth="1"/>
    <col min="17" max="17" width="9.421875" style="0" customWidth="1"/>
    <col min="18" max="18" width="22.7109375" style="0" customWidth="1"/>
    <col min="19" max="19" width="9.7109375" style="0" bestFit="1" customWidth="1"/>
    <col min="20" max="20" width="8.57421875" style="0" bestFit="1" customWidth="1"/>
    <col min="21" max="22" width="8.421875" style="0" customWidth="1"/>
    <col min="23" max="23" width="7.421875" style="0" bestFit="1" customWidth="1"/>
    <col min="24" max="24" width="7.140625" style="0" bestFit="1" customWidth="1"/>
    <col min="25" max="25" width="14.140625" style="0" customWidth="1"/>
    <col min="26" max="26" width="5.28125" style="0" bestFit="1" customWidth="1"/>
    <col min="27" max="27" width="6.7109375" style="0" bestFit="1" customWidth="1"/>
    <col min="28" max="28" width="5.7109375" style="0" bestFit="1" customWidth="1"/>
    <col min="29" max="37" width="6.8515625" style="0" bestFit="1" customWidth="1"/>
    <col min="38" max="38" width="6.8515625" style="0" customWidth="1"/>
    <col min="39" max="39" width="5.28125" style="0" bestFit="1" customWidth="1"/>
    <col min="40" max="40" width="6.7109375" style="0" bestFit="1" customWidth="1"/>
    <col min="41" max="50" width="6.8515625" style="0" bestFit="1" customWidth="1"/>
    <col min="51" max="51" width="5.00390625" style="0" bestFit="1" customWidth="1"/>
  </cols>
  <sheetData>
    <row r="1" spans="1:51" ht="73.5" customHeight="1" thickBot="1" thickTop="1">
      <c r="A1" s="173" t="s">
        <v>0</v>
      </c>
      <c r="B1" s="176" t="s">
        <v>1</v>
      </c>
      <c r="C1" s="167" t="s">
        <v>63</v>
      </c>
      <c r="D1" s="164" t="s">
        <v>60</v>
      </c>
      <c r="E1" s="163" t="s">
        <v>2</v>
      </c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</row>
    <row r="2" spans="1:51" ht="15" customHeight="1">
      <c r="A2" s="174"/>
      <c r="B2" s="177"/>
      <c r="C2" s="168"/>
      <c r="D2" s="165"/>
      <c r="E2" s="178" t="s">
        <v>3</v>
      </c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81" t="s">
        <v>4</v>
      </c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82"/>
    </row>
    <row r="3" spans="1:51" ht="15" customHeight="1">
      <c r="A3" s="174"/>
      <c r="B3" s="177"/>
      <c r="C3" s="168"/>
      <c r="D3" s="165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83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84"/>
    </row>
    <row r="4" spans="1:51" ht="15" customHeight="1">
      <c r="A4" s="174"/>
      <c r="B4" s="177"/>
      <c r="C4" s="168"/>
      <c r="D4" s="165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83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84"/>
    </row>
    <row r="5" spans="1:51" ht="15" customHeight="1">
      <c r="A5" s="174"/>
      <c r="B5" s="177"/>
      <c r="C5" s="168"/>
      <c r="D5" s="165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83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84"/>
    </row>
    <row r="6" spans="1:51" ht="15" customHeight="1">
      <c r="A6" s="174"/>
      <c r="B6" s="177"/>
      <c r="C6" s="168"/>
      <c r="D6" s="165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83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84"/>
    </row>
    <row r="7" spans="1:51" ht="15" customHeight="1">
      <c r="A7" s="174"/>
      <c r="B7" s="177"/>
      <c r="C7" s="168"/>
      <c r="D7" s="165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83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84"/>
    </row>
    <row r="8" spans="1:51" ht="15" customHeight="1">
      <c r="A8" s="174"/>
      <c r="B8" s="177"/>
      <c r="C8" s="168"/>
      <c r="D8" s="165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83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84"/>
    </row>
    <row r="9" spans="1:51" ht="15.75" customHeight="1" thickBot="1">
      <c r="A9" s="174"/>
      <c r="B9" s="177"/>
      <c r="C9" s="168"/>
      <c r="D9" s="165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5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6"/>
    </row>
    <row r="10" spans="1:51" ht="70.5" customHeight="1" thickBot="1">
      <c r="A10" s="175"/>
      <c r="B10" s="170"/>
      <c r="C10" s="168"/>
      <c r="D10" s="166"/>
      <c r="E10" s="171" t="s">
        <v>5</v>
      </c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2"/>
      <c r="R10" s="118" t="s">
        <v>123</v>
      </c>
      <c r="S10" s="170" t="s">
        <v>6</v>
      </c>
      <c r="T10" s="171"/>
      <c r="U10" s="171"/>
      <c r="V10" s="171"/>
      <c r="W10" s="171"/>
      <c r="X10" s="172"/>
      <c r="Y10" s="119" t="s">
        <v>122</v>
      </c>
      <c r="Z10" s="170" t="s">
        <v>21</v>
      </c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0" t="s">
        <v>22</v>
      </c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2"/>
    </row>
    <row r="11" spans="1:51" ht="15.75" thickBot="1">
      <c r="A11" s="104"/>
      <c r="B11" s="120"/>
      <c r="C11" s="169"/>
      <c r="D11" s="121" t="s">
        <v>61</v>
      </c>
      <c r="E11" s="104" t="s">
        <v>7</v>
      </c>
      <c r="F11" s="104" t="s">
        <v>8</v>
      </c>
      <c r="G11" s="104" t="s">
        <v>9</v>
      </c>
      <c r="H11" s="104" t="s">
        <v>10</v>
      </c>
      <c r="I11" s="104" t="s">
        <v>11</v>
      </c>
      <c r="J11" s="104" t="s">
        <v>12</v>
      </c>
      <c r="K11" s="104" t="s">
        <v>13</v>
      </c>
      <c r="L11" s="104" t="s">
        <v>14</v>
      </c>
      <c r="M11" s="104" t="s">
        <v>15</v>
      </c>
      <c r="N11" s="104" t="s">
        <v>16</v>
      </c>
      <c r="O11" s="104" t="s">
        <v>17</v>
      </c>
      <c r="P11" s="104" t="s">
        <v>18</v>
      </c>
      <c r="Q11" s="104" t="s">
        <v>19</v>
      </c>
      <c r="R11" s="122"/>
      <c r="S11" s="104" t="s">
        <v>134</v>
      </c>
      <c r="T11" s="120" t="s">
        <v>75</v>
      </c>
      <c r="U11" s="120" t="s">
        <v>20</v>
      </c>
      <c r="V11" s="120" t="s">
        <v>23</v>
      </c>
      <c r="W11" s="120" t="s">
        <v>25</v>
      </c>
      <c r="X11" s="120" t="s">
        <v>24</v>
      </c>
      <c r="Y11" s="122" t="s">
        <v>74</v>
      </c>
      <c r="Z11" s="104" t="s">
        <v>7</v>
      </c>
      <c r="AA11" s="104" t="s">
        <v>8</v>
      </c>
      <c r="AB11" s="104" t="s">
        <v>9</v>
      </c>
      <c r="AC11" s="104" t="s">
        <v>10</v>
      </c>
      <c r="AD11" s="104" t="s">
        <v>11</v>
      </c>
      <c r="AE11" s="104" t="s">
        <v>12</v>
      </c>
      <c r="AF11" s="104" t="s">
        <v>13</v>
      </c>
      <c r="AG11" s="104" t="s">
        <v>14</v>
      </c>
      <c r="AH11" s="104" t="s">
        <v>15</v>
      </c>
      <c r="AI11" s="104" t="s">
        <v>16</v>
      </c>
      <c r="AJ11" s="104" t="s">
        <v>17</v>
      </c>
      <c r="AK11" s="104" t="s">
        <v>18</v>
      </c>
      <c r="AL11" s="104" t="s">
        <v>19</v>
      </c>
      <c r="AM11" s="104" t="s">
        <v>7</v>
      </c>
      <c r="AN11" s="104" t="s">
        <v>8</v>
      </c>
      <c r="AO11" s="104" t="s">
        <v>9</v>
      </c>
      <c r="AP11" s="104" t="s">
        <v>10</v>
      </c>
      <c r="AQ11" s="104" t="s">
        <v>11</v>
      </c>
      <c r="AR11" s="104" t="s">
        <v>12</v>
      </c>
      <c r="AS11" s="104" t="s">
        <v>13</v>
      </c>
      <c r="AT11" s="104" t="s">
        <v>14</v>
      </c>
      <c r="AU11" s="104" t="s">
        <v>15</v>
      </c>
      <c r="AV11" s="104" t="s">
        <v>16</v>
      </c>
      <c r="AW11" s="104" t="s">
        <v>17</v>
      </c>
      <c r="AX11" s="104" t="s">
        <v>18</v>
      </c>
      <c r="AY11" s="104" t="s">
        <v>19</v>
      </c>
    </row>
    <row r="12" spans="1:51" s="67" customFormat="1" ht="13.5" thickBot="1">
      <c r="A12" s="1" t="s">
        <v>78</v>
      </c>
      <c r="B12" s="65" t="s">
        <v>79</v>
      </c>
      <c r="C12" s="85">
        <f>+D12/'Meta Corte Hosp'!G28</f>
        <v>1.2913448207565854</v>
      </c>
      <c r="D12" s="82">
        <f aca="true" t="shared" si="0" ref="D12:D17">+Q12/R12</f>
        <v>0.14527629233511585</v>
      </c>
      <c r="E12" s="63">
        <v>8</v>
      </c>
      <c r="F12" s="63">
        <v>92</v>
      </c>
      <c r="G12" s="63">
        <v>31</v>
      </c>
      <c r="H12" s="63">
        <v>32</v>
      </c>
      <c r="I12" s="63"/>
      <c r="J12" s="63"/>
      <c r="K12" s="63"/>
      <c r="L12" s="63"/>
      <c r="M12" s="63"/>
      <c r="N12" s="63"/>
      <c r="O12" s="63"/>
      <c r="P12" s="63"/>
      <c r="Q12" s="97">
        <f aca="true" t="shared" si="1" ref="Q12:Q17">SUM(E12:P12)</f>
        <v>163</v>
      </c>
      <c r="R12" s="63">
        <f aca="true" t="shared" si="2" ref="R12:R17">+Y12-U12</f>
        <v>1122</v>
      </c>
      <c r="S12" s="4">
        <v>39</v>
      </c>
      <c r="T12" s="7">
        <f aca="true" t="shared" si="3" ref="T12:T17">+S12+(Z12+AA12+AB12)-(AM12+AN12+AO12)</f>
        <v>40</v>
      </c>
      <c r="U12" s="4">
        <f aca="true" t="shared" si="4" ref="U12:U17">+S12+(Z12+AA12+AB12+AC12+AD12)-(AM12+AN12+AO12+AP12+AQ12)</f>
        <v>40</v>
      </c>
      <c r="V12" s="3"/>
      <c r="W12" s="91"/>
      <c r="X12" s="5"/>
      <c r="Y12" s="8">
        <v>1162</v>
      </c>
      <c r="Z12" s="2">
        <v>1</v>
      </c>
      <c r="AA12" s="2">
        <v>0</v>
      </c>
      <c r="AB12" s="2">
        <v>1</v>
      </c>
      <c r="AC12" s="2">
        <v>0</v>
      </c>
      <c r="AD12" s="2"/>
      <c r="AE12" s="2"/>
      <c r="AF12" s="2"/>
      <c r="AG12" s="2"/>
      <c r="AH12" s="2"/>
      <c r="AI12" s="6"/>
      <c r="AJ12" s="2"/>
      <c r="AK12" s="2"/>
      <c r="AL12" s="4">
        <f aca="true" t="shared" si="5" ref="AL12:AL17">SUM(Z12:AK12)</f>
        <v>2</v>
      </c>
      <c r="AM12" s="66">
        <v>0</v>
      </c>
      <c r="AN12" s="66">
        <v>0</v>
      </c>
      <c r="AO12" s="66">
        <v>1</v>
      </c>
      <c r="AP12" s="66">
        <v>0</v>
      </c>
      <c r="AQ12" s="66"/>
      <c r="AR12" s="66"/>
      <c r="AS12" s="66"/>
      <c r="AT12" s="2"/>
      <c r="AU12" s="2"/>
      <c r="AV12" s="2"/>
      <c r="AW12" s="2"/>
      <c r="AX12" s="2"/>
      <c r="AY12" s="4">
        <f aca="true" t="shared" si="6" ref="AY12:AY17">SUM(AM12:AX12)</f>
        <v>1</v>
      </c>
    </row>
    <row r="13" spans="1:51" s="67" customFormat="1" ht="13.5" thickBot="1">
      <c r="A13" s="1" t="s">
        <v>53</v>
      </c>
      <c r="B13" s="65" t="s">
        <v>80</v>
      </c>
      <c r="C13" s="85">
        <f>+D13/'Meta Corte Hosp'!G29</f>
        <v>0.1854089546131666</v>
      </c>
      <c r="D13" s="83">
        <f t="shared" si="0"/>
        <v>0.015018125323666495</v>
      </c>
      <c r="E13" s="63">
        <v>7</v>
      </c>
      <c r="F13" s="63">
        <v>9</v>
      </c>
      <c r="G13" s="63">
        <v>6</v>
      </c>
      <c r="H13" s="63">
        <v>7</v>
      </c>
      <c r="I13" s="63"/>
      <c r="J13" s="63"/>
      <c r="K13" s="63"/>
      <c r="L13" s="63"/>
      <c r="M13" s="63"/>
      <c r="N13" s="63"/>
      <c r="O13" s="63"/>
      <c r="P13" s="63"/>
      <c r="Q13" s="97">
        <f t="shared" si="1"/>
        <v>29</v>
      </c>
      <c r="R13" s="63">
        <f t="shared" si="2"/>
        <v>1931</v>
      </c>
      <c r="S13" s="4">
        <v>24</v>
      </c>
      <c r="T13" s="7">
        <f t="shared" si="3"/>
        <v>27</v>
      </c>
      <c r="U13" s="4">
        <f t="shared" si="4"/>
        <v>29</v>
      </c>
      <c r="V13" s="3"/>
      <c r="W13" s="91"/>
      <c r="X13" s="5"/>
      <c r="Y13" s="8">
        <v>1960</v>
      </c>
      <c r="Z13" s="2">
        <v>1</v>
      </c>
      <c r="AA13" s="2">
        <v>0</v>
      </c>
      <c r="AB13" s="2">
        <v>2</v>
      </c>
      <c r="AC13" s="2">
        <v>2</v>
      </c>
      <c r="AD13" s="2"/>
      <c r="AE13" s="2"/>
      <c r="AF13" s="2"/>
      <c r="AG13" s="2"/>
      <c r="AH13" s="2"/>
      <c r="AI13" s="6"/>
      <c r="AJ13" s="2"/>
      <c r="AK13" s="2"/>
      <c r="AL13" s="4">
        <f t="shared" si="5"/>
        <v>5</v>
      </c>
      <c r="AM13" s="66">
        <v>0</v>
      </c>
      <c r="AN13" s="66">
        <v>0</v>
      </c>
      <c r="AO13" s="66"/>
      <c r="AP13" s="66">
        <v>0</v>
      </c>
      <c r="AQ13" s="66"/>
      <c r="AR13" s="66"/>
      <c r="AS13" s="66"/>
      <c r="AT13" s="2"/>
      <c r="AU13" s="2"/>
      <c r="AV13" s="2"/>
      <c r="AW13" s="2"/>
      <c r="AX13" s="2"/>
      <c r="AY13" s="4">
        <f t="shared" si="6"/>
        <v>0</v>
      </c>
    </row>
    <row r="14" spans="1:51" s="67" customFormat="1" ht="13.5" thickBot="1">
      <c r="A14" s="1" t="s">
        <v>54</v>
      </c>
      <c r="B14" s="65" t="s">
        <v>81</v>
      </c>
      <c r="C14" s="85">
        <f>+D14/'Meta Corte Hosp'!G30</f>
        <v>0.4694260755980079</v>
      </c>
      <c r="D14" s="83">
        <f t="shared" si="0"/>
        <v>0.04224834680382072</v>
      </c>
      <c r="E14" s="63">
        <v>16</v>
      </c>
      <c r="F14" s="63">
        <v>66</v>
      </c>
      <c r="G14" s="63">
        <v>20</v>
      </c>
      <c r="H14" s="63">
        <v>13</v>
      </c>
      <c r="I14" s="63"/>
      <c r="J14" s="63"/>
      <c r="K14" s="63"/>
      <c r="L14" s="63"/>
      <c r="M14" s="63"/>
      <c r="N14" s="63"/>
      <c r="O14" s="63"/>
      <c r="P14" s="63"/>
      <c r="Q14" s="97">
        <f t="shared" si="1"/>
        <v>115</v>
      </c>
      <c r="R14" s="63">
        <f t="shared" si="2"/>
        <v>2722</v>
      </c>
      <c r="S14" s="4">
        <v>20</v>
      </c>
      <c r="T14" s="7">
        <f t="shared" si="3"/>
        <v>19</v>
      </c>
      <c r="U14" s="4">
        <f t="shared" si="4"/>
        <v>19</v>
      </c>
      <c r="V14" s="3"/>
      <c r="W14" s="91"/>
      <c r="X14" s="5"/>
      <c r="Y14" s="8">
        <v>2741</v>
      </c>
      <c r="Z14" s="2"/>
      <c r="AA14" s="2">
        <v>1</v>
      </c>
      <c r="AB14" s="2">
        <v>1</v>
      </c>
      <c r="AC14" s="2">
        <v>0</v>
      </c>
      <c r="AD14" s="2"/>
      <c r="AE14" s="2"/>
      <c r="AF14" s="2"/>
      <c r="AG14" s="2"/>
      <c r="AH14" s="2"/>
      <c r="AI14" s="6"/>
      <c r="AJ14" s="2"/>
      <c r="AK14" s="2"/>
      <c r="AL14" s="4">
        <f t="shared" si="5"/>
        <v>2</v>
      </c>
      <c r="AM14" s="66"/>
      <c r="AN14" s="66">
        <v>3</v>
      </c>
      <c r="AO14" s="66">
        <v>0</v>
      </c>
      <c r="AP14" s="66">
        <v>0</v>
      </c>
      <c r="AQ14" s="66"/>
      <c r="AR14" s="66"/>
      <c r="AS14" s="66"/>
      <c r="AT14" s="2"/>
      <c r="AU14" s="2"/>
      <c r="AV14" s="2"/>
      <c r="AW14" s="2"/>
      <c r="AX14" s="2"/>
      <c r="AY14" s="4">
        <f t="shared" si="6"/>
        <v>3</v>
      </c>
    </row>
    <row r="15" spans="1:51" s="67" customFormat="1" ht="13.5" thickBot="1">
      <c r="A15" s="1" t="s">
        <v>55</v>
      </c>
      <c r="B15" s="65" t="s">
        <v>82</v>
      </c>
      <c r="C15" s="85">
        <f>+D15/'Meta Corte Hosp'!G31</f>
        <v>0.41738629821531376</v>
      </c>
      <c r="D15" s="83">
        <f t="shared" si="0"/>
        <v>0.03756476683937824</v>
      </c>
      <c r="E15" s="63">
        <v>1</v>
      </c>
      <c r="F15" s="63">
        <v>7</v>
      </c>
      <c r="G15" s="63">
        <v>25</v>
      </c>
      <c r="H15" s="63">
        <v>25</v>
      </c>
      <c r="I15" s="63"/>
      <c r="J15" s="63"/>
      <c r="K15" s="63"/>
      <c r="L15" s="63"/>
      <c r="M15" s="63"/>
      <c r="N15" s="63"/>
      <c r="O15" s="63"/>
      <c r="P15" s="63"/>
      <c r="Q15" s="97">
        <f t="shared" si="1"/>
        <v>58</v>
      </c>
      <c r="R15" s="63">
        <f t="shared" si="2"/>
        <v>1544</v>
      </c>
      <c r="S15" s="4">
        <v>40</v>
      </c>
      <c r="T15" s="7">
        <f t="shared" si="3"/>
        <v>38</v>
      </c>
      <c r="U15" s="4">
        <f t="shared" si="4"/>
        <v>38</v>
      </c>
      <c r="V15" s="3"/>
      <c r="W15" s="91"/>
      <c r="X15" s="5"/>
      <c r="Y15" s="8">
        <v>1582</v>
      </c>
      <c r="Z15" s="2">
        <v>0</v>
      </c>
      <c r="AA15" s="2">
        <v>0</v>
      </c>
      <c r="AB15" s="2">
        <v>0</v>
      </c>
      <c r="AC15" s="2">
        <v>0</v>
      </c>
      <c r="AD15" s="2"/>
      <c r="AE15" s="2"/>
      <c r="AF15" s="2"/>
      <c r="AG15" s="2"/>
      <c r="AH15" s="2"/>
      <c r="AI15" s="6"/>
      <c r="AJ15" s="2"/>
      <c r="AK15" s="2"/>
      <c r="AL15" s="4">
        <f t="shared" si="5"/>
        <v>0</v>
      </c>
      <c r="AM15" s="67">
        <v>0</v>
      </c>
      <c r="AN15" s="67">
        <v>2</v>
      </c>
      <c r="AO15" s="66">
        <v>0</v>
      </c>
      <c r="AP15" s="66">
        <v>0</v>
      </c>
      <c r="AQ15" s="66"/>
      <c r="AR15" s="66"/>
      <c r="AS15" s="66"/>
      <c r="AT15" s="2"/>
      <c r="AU15" s="2"/>
      <c r="AV15" s="2"/>
      <c r="AW15" s="2"/>
      <c r="AX15" s="2"/>
      <c r="AY15" s="4">
        <f t="shared" si="6"/>
        <v>2</v>
      </c>
    </row>
    <row r="16" spans="1:51" s="67" customFormat="1" ht="13.5" thickBot="1">
      <c r="A16" s="1" t="s">
        <v>56</v>
      </c>
      <c r="B16" s="65" t="s">
        <v>83</v>
      </c>
      <c r="C16" s="85">
        <f>+D16/'Meta Corte Hosp'!G32</f>
        <v>0.4099519366694938</v>
      </c>
      <c r="D16" s="83">
        <f t="shared" si="0"/>
        <v>0.03689567430025445</v>
      </c>
      <c r="E16" s="63">
        <v>23</v>
      </c>
      <c r="F16" s="63">
        <v>14</v>
      </c>
      <c r="G16" s="63">
        <v>9</v>
      </c>
      <c r="H16" s="63">
        <v>12</v>
      </c>
      <c r="I16" s="63"/>
      <c r="J16" s="63"/>
      <c r="K16" s="63"/>
      <c r="L16" s="63"/>
      <c r="M16" s="63"/>
      <c r="N16" s="63"/>
      <c r="O16" s="63"/>
      <c r="P16" s="63"/>
      <c r="Q16" s="97">
        <f t="shared" si="1"/>
        <v>58</v>
      </c>
      <c r="R16" s="63">
        <f t="shared" si="2"/>
        <v>1572</v>
      </c>
      <c r="S16" s="4">
        <v>55</v>
      </c>
      <c r="T16" s="7">
        <f t="shared" si="3"/>
        <v>55</v>
      </c>
      <c r="U16" s="4">
        <f t="shared" si="4"/>
        <v>57</v>
      </c>
      <c r="V16" s="3"/>
      <c r="W16" s="91"/>
      <c r="X16" s="5"/>
      <c r="Y16" s="8">
        <v>1629</v>
      </c>
      <c r="Z16" s="2">
        <v>2</v>
      </c>
      <c r="AA16" s="2">
        <v>2</v>
      </c>
      <c r="AB16" s="2">
        <v>0</v>
      </c>
      <c r="AC16" s="2">
        <v>3</v>
      </c>
      <c r="AD16" s="2"/>
      <c r="AE16" s="2"/>
      <c r="AF16" s="2"/>
      <c r="AG16" s="2"/>
      <c r="AH16" s="2"/>
      <c r="AI16" s="6"/>
      <c r="AJ16" s="2"/>
      <c r="AK16" s="2"/>
      <c r="AL16" s="4">
        <f t="shared" si="5"/>
        <v>7</v>
      </c>
      <c r="AM16" s="66">
        <v>1</v>
      </c>
      <c r="AN16" s="66">
        <v>3</v>
      </c>
      <c r="AO16" s="66">
        <v>0</v>
      </c>
      <c r="AP16" s="66">
        <v>1</v>
      </c>
      <c r="AQ16" s="66"/>
      <c r="AR16" s="66"/>
      <c r="AS16" s="66"/>
      <c r="AT16" s="2"/>
      <c r="AU16" s="2"/>
      <c r="AV16" s="2"/>
      <c r="AW16" s="2"/>
      <c r="AX16" s="2"/>
      <c r="AY16" s="4">
        <f t="shared" si="6"/>
        <v>5</v>
      </c>
    </row>
    <row r="17" spans="1:51" s="67" customFormat="1" ht="13.5" thickBot="1">
      <c r="A17" s="1" t="s">
        <v>57</v>
      </c>
      <c r="B17" s="65" t="s">
        <v>84</v>
      </c>
      <c r="C17" s="85">
        <f>+D17/'Meta Corte Hosp'!G33</f>
        <v>0.3264662839130924</v>
      </c>
      <c r="D17" s="84">
        <f t="shared" si="0"/>
        <v>0.044072948328267476</v>
      </c>
      <c r="E17" s="63">
        <v>4</v>
      </c>
      <c r="F17" s="63">
        <v>7</v>
      </c>
      <c r="G17" s="63">
        <v>11</v>
      </c>
      <c r="H17" s="63">
        <v>7</v>
      </c>
      <c r="I17" s="63"/>
      <c r="J17" s="63"/>
      <c r="K17" s="63"/>
      <c r="L17" s="63"/>
      <c r="M17" s="63"/>
      <c r="N17" s="63"/>
      <c r="O17" s="63"/>
      <c r="P17" s="63"/>
      <c r="Q17" s="97">
        <f t="shared" si="1"/>
        <v>29</v>
      </c>
      <c r="R17" s="63">
        <f t="shared" si="2"/>
        <v>658</v>
      </c>
      <c r="S17" s="4">
        <v>38</v>
      </c>
      <c r="T17" s="7">
        <f t="shared" si="3"/>
        <v>40</v>
      </c>
      <c r="U17" s="4">
        <f t="shared" si="4"/>
        <v>44</v>
      </c>
      <c r="V17" s="3"/>
      <c r="W17" s="91"/>
      <c r="X17" s="5"/>
      <c r="Y17" s="8">
        <v>702</v>
      </c>
      <c r="Z17" s="2">
        <v>0</v>
      </c>
      <c r="AA17" s="2">
        <v>1</v>
      </c>
      <c r="AB17" s="2">
        <v>1</v>
      </c>
      <c r="AC17" s="2">
        <v>4</v>
      </c>
      <c r="AD17" s="2"/>
      <c r="AE17" s="2"/>
      <c r="AF17" s="2"/>
      <c r="AG17" s="2"/>
      <c r="AH17" s="2"/>
      <c r="AI17" s="6"/>
      <c r="AJ17" s="2"/>
      <c r="AK17" s="2"/>
      <c r="AL17" s="4">
        <f t="shared" si="5"/>
        <v>6</v>
      </c>
      <c r="AM17" s="66">
        <v>0</v>
      </c>
      <c r="AN17" s="66">
        <v>0</v>
      </c>
      <c r="AO17" s="66">
        <v>0</v>
      </c>
      <c r="AP17" s="66">
        <v>0</v>
      </c>
      <c r="AQ17" s="66"/>
      <c r="AR17" s="66"/>
      <c r="AS17" s="66"/>
      <c r="AT17" s="2"/>
      <c r="AU17" s="2"/>
      <c r="AV17" s="2"/>
      <c r="AW17" s="2"/>
      <c r="AX17" s="2"/>
      <c r="AY17" s="4">
        <f t="shared" si="6"/>
        <v>0</v>
      </c>
    </row>
    <row r="18" spans="2:51" s="70" customFormat="1" ht="13.5" thickBot="1">
      <c r="B18" s="69" t="s">
        <v>85</v>
      </c>
      <c r="C18" s="69"/>
      <c r="D18" s="93"/>
      <c r="E18" s="99">
        <f>SUM(E12:E17)</f>
        <v>59</v>
      </c>
      <c r="F18" s="99">
        <f aca="true" t="shared" si="7" ref="F18:P18">SUM(F12:F17)</f>
        <v>195</v>
      </c>
      <c r="G18" s="99">
        <f t="shared" si="7"/>
        <v>102</v>
      </c>
      <c r="H18" s="99">
        <f t="shared" si="7"/>
        <v>96</v>
      </c>
      <c r="I18" s="99">
        <f t="shared" si="7"/>
        <v>0</v>
      </c>
      <c r="J18" s="99">
        <f t="shared" si="7"/>
        <v>0</v>
      </c>
      <c r="K18" s="99">
        <f t="shared" si="7"/>
        <v>0</v>
      </c>
      <c r="L18" s="99">
        <f t="shared" si="7"/>
        <v>0</v>
      </c>
      <c r="M18" s="99">
        <f t="shared" si="7"/>
        <v>0</v>
      </c>
      <c r="N18" s="99">
        <f t="shared" si="7"/>
        <v>0</v>
      </c>
      <c r="O18" s="99">
        <f t="shared" si="7"/>
        <v>0</v>
      </c>
      <c r="P18" s="99">
        <f t="shared" si="7"/>
        <v>0</v>
      </c>
      <c r="Q18" s="100">
        <f>SUM(Q12:Q17)</f>
        <v>452</v>
      </c>
      <c r="R18" s="100">
        <f>SUM(R12:R17)</f>
        <v>9549</v>
      </c>
      <c r="S18" s="100">
        <f aca="true" t="shared" si="8" ref="S18:AY18">SUM(S12:S17)</f>
        <v>216</v>
      </c>
      <c r="T18" s="100">
        <f t="shared" si="8"/>
        <v>219</v>
      </c>
      <c r="U18" s="100">
        <f>SUM(U12:U17)</f>
        <v>227</v>
      </c>
      <c r="V18" s="100">
        <f t="shared" si="8"/>
        <v>0</v>
      </c>
      <c r="W18" s="100">
        <f t="shared" si="8"/>
        <v>0</v>
      </c>
      <c r="X18" s="100">
        <f t="shared" si="8"/>
        <v>0</v>
      </c>
      <c r="Y18" s="100">
        <f t="shared" si="8"/>
        <v>9776</v>
      </c>
      <c r="Z18" s="100">
        <f t="shared" si="8"/>
        <v>4</v>
      </c>
      <c r="AA18" s="100">
        <f t="shared" si="8"/>
        <v>4</v>
      </c>
      <c r="AB18" s="100">
        <f t="shared" si="8"/>
        <v>5</v>
      </c>
      <c r="AC18" s="100">
        <f t="shared" si="8"/>
        <v>9</v>
      </c>
      <c r="AD18" s="100">
        <f t="shared" si="8"/>
        <v>0</v>
      </c>
      <c r="AE18" s="100">
        <f t="shared" si="8"/>
        <v>0</v>
      </c>
      <c r="AF18" s="100">
        <f t="shared" si="8"/>
        <v>0</v>
      </c>
      <c r="AG18" s="100">
        <f t="shared" si="8"/>
        <v>0</v>
      </c>
      <c r="AH18" s="100">
        <f t="shared" si="8"/>
        <v>0</v>
      </c>
      <c r="AI18" s="100">
        <f t="shared" si="8"/>
        <v>0</v>
      </c>
      <c r="AJ18" s="100">
        <f t="shared" si="8"/>
        <v>0</v>
      </c>
      <c r="AK18" s="100">
        <f t="shared" si="8"/>
        <v>0</v>
      </c>
      <c r="AL18" s="100">
        <f>SUM(AL12:AL17)</f>
        <v>22</v>
      </c>
      <c r="AM18" s="100">
        <f t="shared" si="8"/>
        <v>1</v>
      </c>
      <c r="AN18" s="100">
        <f t="shared" si="8"/>
        <v>8</v>
      </c>
      <c r="AO18" s="100">
        <f t="shared" si="8"/>
        <v>1</v>
      </c>
      <c r="AP18" s="100">
        <f t="shared" si="8"/>
        <v>1</v>
      </c>
      <c r="AQ18" s="100">
        <f t="shared" si="8"/>
        <v>0</v>
      </c>
      <c r="AR18" s="100">
        <f t="shared" si="8"/>
        <v>0</v>
      </c>
      <c r="AS18" s="100">
        <f t="shared" si="8"/>
        <v>0</v>
      </c>
      <c r="AT18" s="100">
        <f t="shared" si="8"/>
        <v>0</v>
      </c>
      <c r="AU18" s="100">
        <f t="shared" si="8"/>
        <v>0</v>
      </c>
      <c r="AV18" s="100">
        <f t="shared" si="8"/>
        <v>0</v>
      </c>
      <c r="AW18" s="100">
        <f t="shared" si="8"/>
        <v>0</v>
      </c>
      <c r="AX18" s="100">
        <f t="shared" si="8"/>
        <v>0</v>
      </c>
      <c r="AY18" s="100">
        <f t="shared" si="8"/>
        <v>11</v>
      </c>
    </row>
    <row r="20" spans="19:21" ht="15">
      <c r="S20" s="9"/>
      <c r="T20" s="9"/>
      <c r="U20" s="9"/>
    </row>
    <row r="21" ht="15">
      <c r="Q21" s="9"/>
    </row>
  </sheetData>
  <sheetProtection/>
  <mergeCells count="11">
    <mergeCell ref="A1:A10"/>
    <mergeCell ref="B1:B10"/>
    <mergeCell ref="E2:Q9"/>
    <mergeCell ref="E10:Q10"/>
    <mergeCell ref="R2:AY9"/>
    <mergeCell ref="E1:AY1"/>
    <mergeCell ref="D1:D10"/>
    <mergeCell ref="C1:C11"/>
    <mergeCell ref="S10:X10"/>
    <mergeCell ref="Z10:AL10"/>
    <mergeCell ref="AM10:AY10"/>
  </mergeCells>
  <printOptions/>
  <pageMargins left="0.7" right="0.7" top="0.75" bottom="0.75" header="0.3" footer="0.3"/>
  <pageSetup horizontalDpi="300" verticalDpi="300" orientation="portrait" paperSize="9" r:id="rId1"/>
  <ignoredErrors>
    <ignoredError sqref="AL12:AL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Y20"/>
  <sheetViews>
    <sheetView zoomScalePageLayoutView="0" workbookViewId="0" topLeftCell="A1">
      <pane xSplit="2" ySplit="11" topLeftCell="S12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Y12" sqref="Y12:Y17"/>
    </sheetView>
  </sheetViews>
  <sheetFormatPr defaultColWidth="11.421875" defaultRowHeight="15"/>
  <cols>
    <col min="1" max="1" width="31.57421875" style="0" bestFit="1" customWidth="1"/>
    <col min="2" max="2" width="39.00390625" style="0" customWidth="1"/>
    <col min="3" max="3" width="14.421875" style="0" customWidth="1"/>
    <col min="4" max="4" width="12.28125" style="0" customWidth="1"/>
    <col min="5" max="5" width="8.28125" style="0" bestFit="1" customWidth="1"/>
    <col min="6" max="6" width="6.7109375" style="0" bestFit="1" customWidth="1"/>
    <col min="7" max="10" width="7.00390625" style="0" bestFit="1" customWidth="1"/>
    <col min="11" max="11" width="5.57421875" style="0" bestFit="1" customWidth="1"/>
    <col min="12" max="12" width="8.140625" style="0" bestFit="1" customWidth="1"/>
    <col min="13" max="13" width="7.421875" style="0" bestFit="1" customWidth="1"/>
    <col min="14" max="14" width="7.57421875" style="0" bestFit="1" customWidth="1"/>
    <col min="15" max="15" width="7.7109375" style="0" bestFit="1" customWidth="1"/>
    <col min="16" max="16" width="6.8515625" style="0" bestFit="1" customWidth="1"/>
    <col min="17" max="17" width="8.28125" style="0" bestFit="1" customWidth="1"/>
    <col min="18" max="18" width="19.8515625" style="0" bestFit="1" customWidth="1"/>
    <col min="19" max="20" width="9.57421875" style="21" customWidth="1"/>
    <col min="21" max="21" width="13.140625" style="0" bestFit="1" customWidth="1"/>
    <col min="22" max="22" width="9.7109375" style="0" bestFit="1" customWidth="1"/>
    <col min="23" max="23" width="13.140625" style="0" bestFit="1" customWidth="1"/>
    <col min="24" max="24" width="9.7109375" style="0" bestFit="1" customWidth="1"/>
    <col min="25" max="25" width="14.7109375" style="0" bestFit="1" customWidth="1"/>
    <col min="26" max="26" width="7.57421875" style="0" customWidth="1"/>
    <col min="27" max="27" width="8.28125" style="0" customWidth="1"/>
    <col min="28" max="28" width="6.28125" style="0" bestFit="1" customWidth="1"/>
    <col min="29" max="29" width="6.421875" style="0" customWidth="1"/>
    <col min="30" max="30" width="6.00390625" style="0" bestFit="1" customWidth="1"/>
    <col min="31" max="31" width="6.28125" style="0" bestFit="1" customWidth="1"/>
    <col min="32" max="32" width="6.28125" style="0" customWidth="1"/>
    <col min="33" max="34" width="7.57421875" style="0" customWidth="1"/>
    <col min="35" max="35" width="6.7109375" style="0" bestFit="1" customWidth="1"/>
    <col min="36" max="36" width="6.8515625" style="0" customWidth="1"/>
    <col min="37" max="37" width="6.57421875" style="0" customWidth="1"/>
    <col min="38" max="38" width="7.00390625" style="0" customWidth="1"/>
    <col min="39" max="39" width="5.28125" style="0" bestFit="1" customWidth="1"/>
    <col min="40" max="40" width="6.7109375" style="0" bestFit="1" customWidth="1"/>
    <col min="41" max="41" width="5.7109375" style="0" bestFit="1" customWidth="1"/>
    <col min="42" max="42" width="5.140625" style="0" bestFit="1" customWidth="1"/>
    <col min="43" max="43" width="4.8515625" style="0" bestFit="1" customWidth="1"/>
    <col min="44" max="44" width="5.140625" style="0" bestFit="1" customWidth="1"/>
    <col min="45" max="45" width="4.7109375" style="0" bestFit="1" customWidth="1"/>
    <col min="46" max="46" width="6.28125" style="0" bestFit="1" customWidth="1"/>
    <col min="47" max="47" width="5.7109375" style="0" bestFit="1" customWidth="1"/>
    <col min="48" max="48" width="6.00390625" style="0" bestFit="1" customWidth="1"/>
    <col min="49" max="49" width="6.28125" style="0" bestFit="1" customWidth="1"/>
    <col min="50" max="50" width="5.7109375" style="0" bestFit="1" customWidth="1"/>
    <col min="51" max="51" width="5.421875" style="0" bestFit="1" customWidth="1"/>
  </cols>
  <sheetData>
    <row r="1" spans="1:51" ht="73.5" customHeight="1" thickBot="1" thickTop="1">
      <c r="A1" s="173" t="s">
        <v>0</v>
      </c>
      <c r="B1" s="167" t="s">
        <v>1</v>
      </c>
      <c r="C1" s="167" t="s">
        <v>63</v>
      </c>
      <c r="D1" s="190" t="s">
        <v>60</v>
      </c>
      <c r="E1" s="193" t="s">
        <v>26</v>
      </c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</row>
    <row r="2" spans="1:51" ht="15" customHeight="1">
      <c r="A2" s="174"/>
      <c r="B2" s="177"/>
      <c r="C2" s="168"/>
      <c r="D2" s="191"/>
      <c r="E2" s="181" t="s">
        <v>3</v>
      </c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81" t="s">
        <v>4</v>
      </c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82"/>
    </row>
    <row r="3" spans="1:51" ht="15" customHeight="1">
      <c r="A3" s="174"/>
      <c r="B3" s="177"/>
      <c r="C3" s="168"/>
      <c r="D3" s="191"/>
      <c r="E3" s="183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83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84"/>
    </row>
    <row r="4" spans="1:51" ht="15" customHeight="1">
      <c r="A4" s="174"/>
      <c r="B4" s="177"/>
      <c r="C4" s="168"/>
      <c r="D4" s="191"/>
      <c r="E4" s="183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83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84"/>
    </row>
    <row r="5" spans="1:51" ht="15" customHeight="1">
      <c r="A5" s="174"/>
      <c r="B5" s="177"/>
      <c r="C5" s="168"/>
      <c r="D5" s="191"/>
      <c r="E5" s="183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83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84"/>
    </row>
    <row r="6" spans="1:51" ht="15" customHeight="1">
      <c r="A6" s="174"/>
      <c r="B6" s="177"/>
      <c r="C6" s="168"/>
      <c r="D6" s="191"/>
      <c r="E6" s="183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83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84"/>
    </row>
    <row r="7" spans="1:51" ht="15" customHeight="1">
      <c r="A7" s="174"/>
      <c r="B7" s="177"/>
      <c r="C7" s="168"/>
      <c r="D7" s="191"/>
      <c r="E7" s="183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83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84"/>
    </row>
    <row r="8" spans="1:51" ht="15" customHeight="1">
      <c r="A8" s="174"/>
      <c r="B8" s="177"/>
      <c r="C8" s="168"/>
      <c r="D8" s="191"/>
      <c r="E8" s="183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83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84"/>
    </row>
    <row r="9" spans="1:51" ht="15.75" customHeight="1" thickBot="1">
      <c r="A9" s="174"/>
      <c r="B9" s="177"/>
      <c r="C9" s="168"/>
      <c r="D9" s="191"/>
      <c r="E9" s="185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5"/>
      <c r="S9" s="179"/>
      <c r="T9" s="179"/>
      <c r="U9" s="179"/>
      <c r="V9" s="179"/>
      <c r="W9" s="179"/>
      <c r="X9" s="179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6"/>
    </row>
    <row r="10" spans="1:51" ht="82.5" customHeight="1" thickBot="1" thickTop="1">
      <c r="A10" s="175"/>
      <c r="B10" s="169"/>
      <c r="C10" s="168"/>
      <c r="D10" s="192"/>
      <c r="E10" s="171" t="s">
        <v>27</v>
      </c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2"/>
      <c r="R10" s="118" t="s">
        <v>124</v>
      </c>
      <c r="S10" s="187" t="s">
        <v>28</v>
      </c>
      <c r="T10" s="188"/>
      <c r="U10" s="188"/>
      <c r="V10" s="188"/>
      <c r="W10" s="188"/>
      <c r="X10" s="189"/>
      <c r="Y10" s="119" t="s">
        <v>125</v>
      </c>
      <c r="Z10" s="170" t="s">
        <v>29</v>
      </c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0" t="s">
        <v>30</v>
      </c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2"/>
    </row>
    <row r="11" spans="1:51" ht="15.75" thickBot="1">
      <c r="A11" s="104"/>
      <c r="B11" s="104"/>
      <c r="C11" s="169"/>
      <c r="D11" s="104" t="s">
        <v>61</v>
      </c>
      <c r="E11" s="104" t="s">
        <v>7</v>
      </c>
      <c r="F11" s="104" t="s">
        <v>8</v>
      </c>
      <c r="G11" s="104" t="s">
        <v>9</v>
      </c>
      <c r="H11" s="104" t="s">
        <v>10</v>
      </c>
      <c r="I11" s="104" t="s">
        <v>11</v>
      </c>
      <c r="J11" s="104" t="s">
        <v>12</v>
      </c>
      <c r="K11" s="104" t="s">
        <v>13</v>
      </c>
      <c r="L11" s="104" t="s">
        <v>14</v>
      </c>
      <c r="M11" s="104" t="s">
        <v>15</v>
      </c>
      <c r="N11" s="104" t="s">
        <v>16</v>
      </c>
      <c r="O11" s="104" t="s">
        <v>17</v>
      </c>
      <c r="P11" s="104" t="s">
        <v>18</v>
      </c>
      <c r="Q11" s="104" t="s">
        <v>19</v>
      </c>
      <c r="R11" s="122"/>
      <c r="S11" s="105" t="s">
        <v>134</v>
      </c>
      <c r="T11" s="106" t="s">
        <v>75</v>
      </c>
      <c r="U11" s="104" t="s">
        <v>20</v>
      </c>
      <c r="V11" s="120" t="s">
        <v>23</v>
      </c>
      <c r="W11" s="120" t="s">
        <v>25</v>
      </c>
      <c r="X11" s="120" t="s">
        <v>24</v>
      </c>
      <c r="Y11" s="122" t="s">
        <v>74</v>
      </c>
      <c r="Z11" s="104" t="s">
        <v>7</v>
      </c>
      <c r="AA11" s="104" t="s">
        <v>8</v>
      </c>
      <c r="AB11" s="104" t="s">
        <v>9</v>
      </c>
      <c r="AC11" s="104" t="s">
        <v>10</v>
      </c>
      <c r="AD11" s="104" t="s">
        <v>11</v>
      </c>
      <c r="AE11" s="104" t="s">
        <v>12</v>
      </c>
      <c r="AF11" s="104" t="s">
        <v>13</v>
      </c>
      <c r="AG11" s="104" t="s">
        <v>14</v>
      </c>
      <c r="AH11" s="104" t="s">
        <v>15</v>
      </c>
      <c r="AI11" s="104" t="s">
        <v>16</v>
      </c>
      <c r="AJ11" s="104" t="s">
        <v>17</v>
      </c>
      <c r="AK11" s="104" t="s">
        <v>18</v>
      </c>
      <c r="AL11" s="104" t="s">
        <v>19</v>
      </c>
      <c r="AM11" s="104" t="s">
        <v>7</v>
      </c>
      <c r="AN11" s="104" t="s">
        <v>8</v>
      </c>
      <c r="AO11" s="104" t="s">
        <v>9</v>
      </c>
      <c r="AP11" s="104" t="s">
        <v>10</v>
      </c>
      <c r="AQ11" s="104" t="s">
        <v>11</v>
      </c>
      <c r="AR11" s="104" t="s">
        <v>12</v>
      </c>
      <c r="AS11" s="104" t="s">
        <v>13</v>
      </c>
      <c r="AT11" s="104" t="s">
        <v>14</v>
      </c>
      <c r="AU11" s="104" t="s">
        <v>15</v>
      </c>
      <c r="AV11" s="104" t="s">
        <v>16</v>
      </c>
      <c r="AW11" s="104" t="s">
        <v>17</v>
      </c>
      <c r="AX11" s="104" t="s">
        <v>18</v>
      </c>
      <c r="AY11" s="104" t="s">
        <v>19</v>
      </c>
    </row>
    <row r="12" spans="1:51" s="67" customFormat="1" ht="13.5" thickBot="1">
      <c r="A12" s="1" t="s">
        <v>78</v>
      </c>
      <c r="B12" s="65" t="s">
        <v>79</v>
      </c>
      <c r="C12" s="85">
        <f>+D12/'Meta Corte Hosp'!H28</f>
        <v>2.3441162681669008</v>
      </c>
      <c r="D12" s="82">
        <f aca="true" t="shared" si="0" ref="D12:D17">+Q12/R12</f>
        <v>0.33755274261603374</v>
      </c>
      <c r="E12" s="66">
        <v>12</v>
      </c>
      <c r="F12" s="66">
        <v>65</v>
      </c>
      <c r="G12" s="66">
        <v>42</v>
      </c>
      <c r="H12" s="66">
        <v>41</v>
      </c>
      <c r="I12" s="66"/>
      <c r="J12" s="66"/>
      <c r="K12" s="66"/>
      <c r="L12" s="2"/>
      <c r="M12" s="2"/>
      <c r="N12" s="2"/>
      <c r="O12" s="2"/>
      <c r="P12" s="2"/>
      <c r="Q12" s="4">
        <f aca="true" t="shared" si="1" ref="Q12:Q17">SUM(E12:P12)</f>
        <v>160</v>
      </c>
      <c r="R12" s="102">
        <f aca="true" t="shared" si="2" ref="R12:R17">+Y12-U12</f>
        <v>474</v>
      </c>
      <c r="S12" s="10">
        <v>377</v>
      </c>
      <c r="T12" s="17">
        <f aca="true" t="shared" si="3" ref="T12:T17">+S12+(Z12+AA12+AB12)-(AM12+AN12+AO12)</f>
        <v>376</v>
      </c>
      <c r="U12" s="97">
        <f aca="true" t="shared" si="4" ref="U12:U17">+S12+(Z12+AA12+AB12+AC12+AD12)-(AM12+AN12+AO12+AP12+AQ12)</f>
        <v>377</v>
      </c>
      <c r="V12" s="3"/>
      <c r="W12" s="91"/>
      <c r="X12" s="5"/>
      <c r="Y12" s="101">
        <v>851</v>
      </c>
      <c r="Z12" s="2">
        <v>0</v>
      </c>
      <c r="AA12" s="2">
        <v>2</v>
      </c>
      <c r="AB12" s="2">
        <v>1</v>
      </c>
      <c r="AC12" s="2">
        <v>1</v>
      </c>
      <c r="AD12" s="2"/>
      <c r="AE12" s="2"/>
      <c r="AF12" s="2"/>
      <c r="AG12" s="2"/>
      <c r="AH12" s="2"/>
      <c r="AI12" s="6"/>
      <c r="AJ12" s="2"/>
      <c r="AK12" s="2"/>
      <c r="AL12" s="4">
        <f aca="true" t="shared" si="5" ref="AL12:AL17">SUM(Z12:AK12)</f>
        <v>4</v>
      </c>
      <c r="AM12" s="66">
        <v>0</v>
      </c>
      <c r="AN12" s="66">
        <v>3</v>
      </c>
      <c r="AO12" s="66">
        <v>1</v>
      </c>
      <c r="AP12" s="66">
        <v>0</v>
      </c>
      <c r="AQ12" s="66"/>
      <c r="AR12" s="66"/>
      <c r="AS12" s="66"/>
      <c r="AT12" s="2"/>
      <c r="AU12" s="2"/>
      <c r="AV12" s="2"/>
      <c r="AW12" s="2"/>
      <c r="AX12" s="2"/>
      <c r="AY12" s="4">
        <f aca="true" t="shared" si="6" ref="AY12:AY17">SUM(AM12:AX12)</f>
        <v>4</v>
      </c>
    </row>
    <row r="13" spans="1:51" s="67" customFormat="1" ht="13.5" thickBot="1">
      <c r="A13" s="1" t="s">
        <v>53</v>
      </c>
      <c r="B13" s="65" t="s">
        <v>80</v>
      </c>
      <c r="C13" s="85">
        <f>+D13/'Meta Corte Hosp'!H29</f>
        <v>0.49064342979383163</v>
      </c>
      <c r="D13" s="82">
        <f t="shared" si="0"/>
        <v>0.0574052812858783</v>
      </c>
      <c r="E13" s="66">
        <v>26</v>
      </c>
      <c r="F13" s="66">
        <v>5</v>
      </c>
      <c r="G13" s="66">
        <v>7</v>
      </c>
      <c r="H13" s="66">
        <v>12</v>
      </c>
      <c r="I13" s="66"/>
      <c r="J13" s="66"/>
      <c r="K13" s="66"/>
      <c r="L13" s="2"/>
      <c r="M13" s="2"/>
      <c r="N13" s="2"/>
      <c r="O13" s="2"/>
      <c r="P13" s="2"/>
      <c r="Q13" s="4">
        <f t="shared" si="1"/>
        <v>50</v>
      </c>
      <c r="R13" s="102">
        <f t="shared" si="2"/>
        <v>871</v>
      </c>
      <c r="S13" s="10">
        <v>435</v>
      </c>
      <c r="T13" s="17">
        <f t="shared" si="3"/>
        <v>460</v>
      </c>
      <c r="U13" s="97">
        <f t="shared" si="4"/>
        <v>468</v>
      </c>
      <c r="V13" s="3"/>
      <c r="W13" s="91"/>
      <c r="X13" s="5"/>
      <c r="Y13" s="101">
        <v>1339</v>
      </c>
      <c r="Z13" s="2">
        <v>3</v>
      </c>
      <c r="AA13" s="2">
        <v>14</v>
      </c>
      <c r="AB13" s="2">
        <v>8</v>
      </c>
      <c r="AC13" s="2">
        <v>8</v>
      </c>
      <c r="AD13" s="2"/>
      <c r="AE13" s="2"/>
      <c r="AF13" s="2"/>
      <c r="AG13" s="2"/>
      <c r="AH13" s="2"/>
      <c r="AI13" s="6"/>
      <c r="AJ13" s="2"/>
      <c r="AK13" s="2"/>
      <c r="AL13" s="4">
        <f t="shared" si="5"/>
        <v>33</v>
      </c>
      <c r="AM13" s="66">
        <v>0</v>
      </c>
      <c r="AN13" s="66">
        <v>0</v>
      </c>
      <c r="AO13" s="66"/>
      <c r="AP13" s="66">
        <v>0</v>
      </c>
      <c r="AQ13" s="66"/>
      <c r="AR13" s="66"/>
      <c r="AS13" s="66"/>
      <c r="AT13" s="2"/>
      <c r="AU13" s="2"/>
      <c r="AV13" s="2"/>
      <c r="AW13" s="2"/>
      <c r="AX13" s="2"/>
      <c r="AY13" s="4">
        <f t="shared" si="6"/>
        <v>0</v>
      </c>
    </row>
    <row r="14" spans="1:51" s="67" customFormat="1" ht="13.5" thickBot="1">
      <c r="A14" s="1" t="s">
        <v>54</v>
      </c>
      <c r="B14" s="65" t="s">
        <v>81</v>
      </c>
      <c r="C14" s="85">
        <f>+D14/'Meta Corte Hosp'!H30</f>
        <v>0.3330612551249214</v>
      </c>
      <c r="D14" s="82">
        <f t="shared" si="0"/>
        <v>0.03896816684961581</v>
      </c>
      <c r="E14" s="66">
        <v>13</v>
      </c>
      <c r="F14" s="66">
        <v>10</v>
      </c>
      <c r="G14" s="66">
        <v>21</v>
      </c>
      <c r="H14" s="66">
        <v>27</v>
      </c>
      <c r="I14" s="66"/>
      <c r="J14" s="66"/>
      <c r="K14" s="66"/>
      <c r="L14" s="2"/>
      <c r="M14" s="2"/>
      <c r="N14" s="2"/>
      <c r="O14" s="2"/>
      <c r="P14" s="2"/>
      <c r="Q14" s="4">
        <f t="shared" si="1"/>
        <v>71</v>
      </c>
      <c r="R14" s="102">
        <f t="shared" si="2"/>
        <v>1822</v>
      </c>
      <c r="S14" s="10">
        <v>577</v>
      </c>
      <c r="T14" s="17">
        <f t="shared" si="3"/>
        <v>580</v>
      </c>
      <c r="U14" s="97">
        <f t="shared" si="4"/>
        <v>582</v>
      </c>
      <c r="V14" s="3"/>
      <c r="W14" s="91"/>
      <c r="X14" s="5"/>
      <c r="Y14" s="101">
        <v>2404</v>
      </c>
      <c r="Z14" s="2"/>
      <c r="AA14" s="2">
        <v>3</v>
      </c>
      <c r="AB14" s="2">
        <v>5</v>
      </c>
      <c r="AC14" s="2">
        <v>6</v>
      </c>
      <c r="AD14" s="2"/>
      <c r="AE14" s="2"/>
      <c r="AF14" s="2"/>
      <c r="AG14" s="2"/>
      <c r="AH14" s="2"/>
      <c r="AI14" s="6"/>
      <c r="AJ14" s="2"/>
      <c r="AK14" s="2"/>
      <c r="AL14" s="4">
        <f t="shared" si="5"/>
        <v>14</v>
      </c>
      <c r="AM14" s="66"/>
      <c r="AN14" s="66">
        <v>3</v>
      </c>
      <c r="AO14" s="66">
        <v>2</v>
      </c>
      <c r="AP14" s="66">
        <v>4</v>
      </c>
      <c r="AQ14" s="66"/>
      <c r="AR14" s="66"/>
      <c r="AS14" s="66"/>
      <c r="AT14" s="2"/>
      <c r="AU14" s="2"/>
      <c r="AV14" s="2"/>
      <c r="AW14" s="2"/>
      <c r="AX14" s="2"/>
      <c r="AY14" s="4">
        <f t="shared" si="6"/>
        <v>9</v>
      </c>
    </row>
    <row r="15" spans="1:51" s="67" customFormat="1" ht="13.5" thickBot="1">
      <c r="A15" s="1" t="s">
        <v>55</v>
      </c>
      <c r="B15" s="65" t="s">
        <v>82</v>
      </c>
      <c r="C15" s="85">
        <f>+D15/'Meta Corte Hosp'!H31</f>
        <v>0.9817509817509817</v>
      </c>
      <c r="D15" s="82">
        <f t="shared" si="0"/>
        <v>0.11486486486486487</v>
      </c>
      <c r="E15" s="66">
        <v>8</v>
      </c>
      <c r="F15" s="66">
        <v>17</v>
      </c>
      <c r="G15" s="66">
        <v>13</v>
      </c>
      <c r="H15" s="66">
        <v>13</v>
      </c>
      <c r="I15" s="66"/>
      <c r="J15" s="66"/>
      <c r="K15" s="66"/>
      <c r="L15" s="2"/>
      <c r="M15" s="2"/>
      <c r="N15" s="2"/>
      <c r="O15" s="2"/>
      <c r="P15" s="2"/>
      <c r="Q15" s="4">
        <f t="shared" si="1"/>
        <v>51</v>
      </c>
      <c r="R15" s="102">
        <f t="shared" si="2"/>
        <v>444</v>
      </c>
      <c r="S15" s="10">
        <v>590</v>
      </c>
      <c r="T15" s="17">
        <f t="shared" si="3"/>
        <v>588</v>
      </c>
      <c r="U15" s="97">
        <f t="shared" si="4"/>
        <v>589</v>
      </c>
      <c r="V15" s="3"/>
      <c r="W15" s="91"/>
      <c r="X15" s="5"/>
      <c r="Y15" s="101">
        <v>1033</v>
      </c>
      <c r="Z15" s="2">
        <v>3</v>
      </c>
      <c r="AA15" s="2">
        <v>4</v>
      </c>
      <c r="AB15" s="2">
        <v>2</v>
      </c>
      <c r="AC15" s="2">
        <v>2</v>
      </c>
      <c r="AD15" s="2"/>
      <c r="AE15" s="2"/>
      <c r="AF15" s="2"/>
      <c r="AG15" s="2"/>
      <c r="AH15" s="2"/>
      <c r="AI15" s="6"/>
      <c r="AJ15" s="2"/>
      <c r="AK15" s="2"/>
      <c r="AL15" s="4">
        <f t="shared" si="5"/>
        <v>11</v>
      </c>
      <c r="AM15" s="66">
        <v>3</v>
      </c>
      <c r="AN15" s="66">
        <v>7</v>
      </c>
      <c r="AO15" s="66">
        <v>1</v>
      </c>
      <c r="AP15" s="66">
        <v>1</v>
      </c>
      <c r="AQ15" s="66"/>
      <c r="AR15" s="66"/>
      <c r="AS15" s="66"/>
      <c r="AT15" s="2"/>
      <c r="AU15" s="2"/>
      <c r="AV15" s="2"/>
      <c r="AW15" s="2"/>
      <c r="AX15" s="2"/>
      <c r="AY15" s="4">
        <f t="shared" si="6"/>
        <v>12</v>
      </c>
    </row>
    <row r="16" spans="1:51" s="67" customFormat="1" ht="13.5" thickBot="1">
      <c r="A16" s="1" t="s">
        <v>56</v>
      </c>
      <c r="B16" s="65" t="s">
        <v>83</v>
      </c>
      <c r="C16" s="85">
        <f>+D16/'Meta Corte Hosp'!H32</f>
        <v>0.6781097690188599</v>
      </c>
      <c r="D16" s="82">
        <f t="shared" si="0"/>
        <v>0.07933884297520662</v>
      </c>
      <c r="E16" s="66">
        <v>10</v>
      </c>
      <c r="F16" s="66">
        <v>10</v>
      </c>
      <c r="G16" s="66">
        <v>8</v>
      </c>
      <c r="H16" s="66">
        <v>20</v>
      </c>
      <c r="I16" s="66"/>
      <c r="J16" s="66"/>
      <c r="K16" s="66"/>
      <c r="L16" s="2"/>
      <c r="M16" s="2"/>
      <c r="N16" s="2"/>
      <c r="O16" s="2"/>
      <c r="P16" s="2"/>
      <c r="Q16" s="4">
        <f t="shared" si="1"/>
        <v>48</v>
      </c>
      <c r="R16" s="102">
        <f t="shared" si="2"/>
        <v>605</v>
      </c>
      <c r="S16" s="10">
        <v>492</v>
      </c>
      <c r="T16" s="17">
        <f t="shared" si="3"/>
        <v>498</v>
      </c>
      <c r="U16" s="97">
        <f t="shared" si="4"/>
        <v>503</v>
      </c>
      <c r="V16" s="3"/>
      <c r="W16" s="91"/>
      <c r="X16" s="5"/>
      <c r="Y16" s="101">
        <v>1108</v>
      </c>
      <c r="Z16" s="2">
        <v>9</v>
      </c>
      <c r="AA16" s="2">
        <v>6</v>
      </c>
      <c r="AB16" s="2">
        <v>10</v>
      </c>
      <c r="AC16" s="2">
        <v>6</v>
      </c>
      <c r="AD16" s="2"/>
      <c r="AE16" s="2"/>
      <c r="AF16" s="2"/>
      <c r="AG16" s="2"/>
      <c r="AH16" s="2"/>
      <c r="AI16" s="6"/>
      <c r="AJ16" s="2"/>
      <c r="AK16" s="2"/>
      <c r="AL16" s="4">
        <f t="shared" si="5"/>
        <v>31</v>
      </c>
      <c r="AM16" s="66">
        <v>0</v>
      </c>
      <c r="AN16" s="66">
        <v>13</v>
      </c>
      <c r="AO16" s="66">
        <v>6</v>
      </c>
      <c r="AP16" s="66">
        <v>1</v>
      </c>
      <c r="AQ16" s="66"/>
      <c r="AR16" s="66"/>
      <c r="AS16" s="66"/>
      <c r="AT16" s="2"/>
      <c r="AU16" s="2"/>
      <c r="AV16" s="2"/>
      <c r="AW16" s="2"/>
      <c r="AX16" s="2"/>
      <c r="AY16" s="4">
        <f t="shared" si="6"/>
        <v>20</v>
      </c>
    </row>
    <row r="17" spans="1:51" s="67" customFormat="1" ht="13.5" thickBot="1">
      <c r="A17" s="1" t="s">
        <v>57</v>
      </c>
      <c r="B17" s="65" t="s">
        <v>84</v>
      </c>
      <c r="C17" s="85">
        <f>+D17/'Meta Corte Hosp'!H33</f>
        <v>0.765450004028684</v>
      </c>
      <c r="D17" s="82">
        <f t="shared" si="0"/>
        <v>0.09644670050761421</v>
      </c>
      <c r="E17" s="66">
        <v>10</v>
      </c>
      <c r="F17" s="66">
        <v>11</v>
      </c>
      <c r="G17" s="66">
        <v>6</v>
      </c>
      <c r="H17" s="66">
        <v>11</v>
      </c>
      <c r="I17" s="66"/>
      <c r="J17" s="66"/>
      <c r="K17" s="66"/>
      <c r="L17" s="2"/>
      <c r="M17" s="2"/>
      <c r="N17" s="2"/>
      <c r="O17" s="2"/>
      <c r="P17" s="2"/>
      <c r="Q17" s="4">
        <f t="shared" si="1"/>
        <v>38</v>
      </c>
      <c r="R17" s="102">
        <f t="shared" si="2"/>
        <v>394</v>
      </c>
      <c r="S17" s="10">
        <v>272</v>
      </c>
      <c r="T17" s="17">
        <f t="shared" si="3"/>
        <v>278</v>
      </c>
      <c r="U17" s="97">
        <f t="shared" si="4"/>
        <v>285</v>
      </c>
      <c r="V17" s="3"/>
      <c r="W17" s="91"/>
      <c r="X17" s="5"/>
      <c r="Y17" s="101">
        <v>679</v>
      </c>
      <c r="Z17" s="2">
        <v>3</v>
      </c>
      <c r="AA17" s="2">
        <v>2</v>
      </c>
      <c r="AB17" s="2">
        <v>2</v>
      </c>
      <c r="AC17" s="2">
        <v>7</v>
      </c>
      <c r="AD17" s="2"/>
      <c r="AE17" s="2"/>
      <c r="AF17" s="2"/>
      <c r="AG17" s="2"/>
      <c r="AH17" s="2"/>
      <c r="AI17" s="6"/>
      <c r="AJ17" s="2"/>
      <c r="AK17" s="2"/>
      <c r="AL17" s="4">
        <f t="shared" si="5"/>
        <v>14</v>
      </c>
      <c r="AM17" s="66">
        <v>1</v>
      </c>
      <c r="AN17" s="66">
        <v>0</v>
      </c>
      <c r="AO17" s="66">
        <v>0</v>
      </c>
      <c r="AP17" s="66">
        <v>0</v>
      </c>
      <c r="AQ17" s="66"/>
      <c r="AR17" s="66"/>
      <c r="AS17" s="66"/>
      <c r="AT17" s="2"/>
      <c r="AU17" s="2"/>
      <c r="AV17" s="2"/>
      <c r="AW17" s="2"/>
      <c r="AX17" s="2"/>
      <c r="AY17" s="4">
        <f t="shared" si="6"/>
        <v>1</v>
      </c>
    </row>
    <row r="18" spans="1:51" s="73" customFormat="1" ht="12.75">
      <c r="A18" s="70"/>
      <c r="B18" s="69" t="s">
        <v>85</v>
      </c>
      <c r="C18" s="71"/>
      <c r="D18" s="92"/>
      <c r="E18" s="72">
        <f>SUM(E12:E17)</f>
        <v>79</v>
      </c>
      <c r="F18" s="72">
        <f aca="true" t="shared" si="7" ref="F18:Q18">SUM(F12:F17)</f>
        <v>118</v>
      </c>
      <c r="G18" s="72">
        <f t="shared" si="7"/>
        <v>97</v>
      </c>
      <c r="H18" s="72">
        <f t="shared" si="7"/>
        <v>124</v>
      </c>
      <c r="I18" s="72">
        <f t="shared" si="7"/>
        <v>0</v>
      </c>
      <c r="J18" s="72">
        <f t="shared" si="7"/>
        <v>0</v>
      </c>
      <c r="K18" s="72">
        <f t="shared" si="7"/>
        <v>0</v>
      </c>
      <c r="L18" s="72">
        <f t="shared" si="7"/>
        <v>0</v>
      </c>
      <c r="M18" s="72">
        <f t="shared" si="7"/>
        <v>0</v>
      </c>
      <c r="N18" s="72">
        <f t="shared" si="7"/>
        <v>0</v>
      </c>
      <c r="O18" s="72">
        <f t="shared" si="7"/>
        <v>0</v>
      </c>
      <c r="P18" s="72">
        <f t="shared" si="7"/>
        <v>0</v>
      </c>
      <c r="Q18" s="72">
        <f t="shared" si="7"/>
        <v>418</v>
      </c>
      <c r="R18" s="76">
        <f>SUM(R12:R17)</f>
        <v>4610</v>
      </c>
      <c r="S18" s="76">
        <f aca="true" t="shared" si="8" ref="S18:AY18">SUM(S12:S17)</f>
        <v>2743</v>
      </c>
      <c r="T18" s="76">
        <f t="shared" si="8"/>
        <v>2780</v>
      </c>
      <c r="U18" s="76">
        <f>SUM(U12:U17)</f>
        <v>2804</v>
      </c>
      <c r="V18" s="76">
        <f t="shared" si="8"/>
        <v>0</v>
      </c>
      <c r="W18" s="76">
        <f>SUM(W12:W17)</f>
        <v>0</v>
      </c>
      <c r="X18" s="76">
        <f>SUM(X12:X17)</f>
        <v>0</v>
      </c>
      <c r="Y18" s="76">
        <f t="shared" si="8"/>
        <v>7414</v>
      </c>
      <c r="Z18" s="72">
        <f t="shared" si="8"/>
        <v>18</v>
      </c>
      <c r="AA18" s="72">
        <f t="shared" si="8"/>
        <v>31</v>
      </c>
      <c r="AB18" s="72">
        <f t="shared" si="8"/>
        <v>28</v>
      </c>
      <c r="AC18" s="72">
        <f t="shared" si="8"/>
        <v>30</v>
      </c>
      <c r="AD18" s="72">
        <f t="shared" si="8"/>
        <v>0</v>
      </c>
      <c r="AE18" s="72">
        <f t="shared" si="8"/>
        <v>0</v>
      </c>
      <c r="AF18" s="72">
        <f t="shared" si="8"/>
        <v>0</v>
      </c>
      <c r="AG18" s="72">
        <f t="shared" si="8"/>
        <v>0</v>
      </c>
      <c r="AH18" s="72">
        <f t="shared" si="8"/>
        <v>0</v>
      </c>
      <c r="AI18" s="72">
        <f t="shared" si="8"/>
        <v>0</v>
      </c>
      <c r="AJ18" s="72">
        <f t="shared" si="8"/>
        <v>0</v>
      </c>
      <c r="AK18" s="72">
        <f t="shared" si="8"/>
        <v>0</v>
      </c>
      <c r="AL18" s="72">
        <f t="shared" si="8"/>
        <v>107</v>
      </c>
      <c r="AM18" s="72">
        <f t="shared" si="8"/>
        <v>4</v>
      </c>
      <c r="AN18" s="72">
        <f t="shared" si="8"/>
        <v>26</v>
      </c>
      <c r="AO18" s="72">
        <f t="shared" si="8"/>
        <v>10</v>
      </c>
      <c r="AP18" s="72">
        <f t="shared" si="8"/>
        <v>6</v>
      </c>
      <c r="AQ18" s="72">
        <f t="shared" si="8"/>
        <v>0</v>
      </c>
      <c r="AR18" s="72">
        <f t="shared" si="8"/>
        <v>0</v>
      </c>
      <c r="AS18" s="72">
        <f t="shared" si="8"/>
        <v>0</v>
      </c>
      <c r="AT18" s="72">
        <f t="shared" si="8"/>
        <v>0</v>
      </c>
      <c r="AU18" s="72">
        <f t="shared" si="8"/>
        <v>0</v>
      </c>
      <c r="AV18" s="72">
        <f t="shared" si="8"/>
        <v>0</v>
      </c>
      <c r="AW18" s="72">
        <f t="shared" si="8"/>
        <v>0</v>
      </c>
      <c r="AX18" s="72">
        <f t="shared" si="8"/>
        <v>0</v>
      </c>
      <c r="AY18" s="72">
        <f t="shared" si="8"/>
        <v>46</v>
      </c>
    </row>
    <row r="20" ht="15">
      <c r="Q20" s="9"/>
    </row>
  </sheetData>
  <sheetProtection/>
  <mergeCells count="11">
    <mergeCell ref="E10:Q10"/>
    <mergeCell ref="Z10:AL10"/>
    <mergeCell ref="A1:A10"/>
    <mergeCell ref="S10:X10"/>
    <mergeCell ref="AM10:AY10"/>
    <mergeCell ref="D1:D10"/>
    <mergeCell ref="C1:C11"/>
    <mergeCell ref="B1:B10"/>
    <mergeCell ref="E1:AY1"/>
    <mergeCell ref="E2:Q9"/>
    <mergeCell ref="R2:AY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pane xSplit="2" ySplit="11" topLeftCell="C12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R18" sqref="R18:S18"/>
    </sheetView>
  </sheetViews>
  <sheetFormatPr defaultColWidth="11.421875" defaultRowHeight="15"/>
  <cols>
    <col min="1" max="1" width="29.00390625" style="0" customWidth="1"/>
    <col min="2" max="2" width="36.7109375" style="0" bestFit="1" customWidth="1"/>
    <col min="3" max="3" width="14.421875" style="0" customWidth="1"/>
    <col min="4" max="4" width="12.7109375" style="0" customWidth="1"/>
    <col min="5" max="5" width="8.57421875" style="21" customWidth="1"/>
    <col min="6" max="6" width="9.8515625" style="21" bestFit="1" customWidth="1"/>
    <col min="7" max="10" width="7.28125" style="0" bestFit="1" customWidth="1"/>
    <col min="11" max="11" width="7.57421875" style="0" customWidth="1"/>
    <col min="12" max="12" width="8.140625" style="0" bestFit="1" customWidth="1"/>
    <col min="13" max="16" width="7.421875" style="0" bestFit="1" customWidth="1"/>
    <col min="17" max="17" width="11.8515625" style="0" bestFit="1" customWidth="1"/>
    <col min="18" max="18" width="16.28125" style="0" customWidth="1"/>
    <col min="19" max="19" width="16.7109375" style="0" customWidth="1"/>
  </cols>
  <sheetData>
    <row r="1" spans="1:19" ht="94.5" customHeight="1" thickBot="1" thickTop="1">
      <c r="A1" s="173" t="s">
        <v>0</v>
      </c>
      <c r="B1" s="167" t="s">
        <v>1</v>
      </c>
      <c r="C1" s="167" t="s">
        <v>63</v>
      </c>
      <c r="D1" s="190" t="s">
        <v>60</v>
      </c>
      <c r="E1" s="200" t="s">
        <v>32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2" spans="1:19" ht="15" customHeight="1">
      <c r="A2" s="174"/>
      <c r="B2" s="177"/>
      <c r="C2" s="168"/>
      <c r="D2" s="191"/>
      <c r="E2" s="181" t="s">
        <v>3</v>
      </c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81" t="s">
        <v>4</v>
      </c>
      <c r="S2" s="178"/>
    </row>
    <row r="3" spans="1:19" ht="15" customHeight="1">
      <c r="A3" s="174"/>
      <c r="B3" s="177"/>
      <c r="C3" s="168"/>
      <c r="D3" s="191"/>
      <c r="E3" s="183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83"/>
      <c r="S3" s="179"/>
    </row>
    <row r="4" spans="1:19" ht="15" customHeight="1">
      <c r="A4" s="174"/>
      <c r="B4" s="177"/>
      <c r="C4" s="168"/>
      <c r="D4" s="191"/>
      <c r="E4" s="183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83"/>
      <c r="S4" s="179"/>
    </row>
    <row r="5" spans="1:19" ht="15" customHeight="1">
      <c r="A5" s="174"/>
      <c r="B5" s="177"/>
      <c r="C5" s="168"/>
      <c r="D5" s="191"/>
      <c r="E5" s="183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83"/>
      <c r="S5" s="179"/>
    </row>
    <row r="6" spans="1:19" ht="15" customHeight="1">
      <c r="A6" s="174"/>
      <c r="B6" s="177"/>
      <c r="C6" s="168"/>
      <c r="D6" s="191"/>
      <c r="E6" s="183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83"/>
      <c r="S6" s="179"/>
    </row>
    <row r="7" spans="1:19" ht="15" customHeight="1">
      <c r="A7" s="174"/>
      <c r="B7" s="177"/>
      <c r="C7" s="168"/>
      <c r="D7" s="191"/>
      <c r="E7" s="183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83"/>
      <c r="S7" s="179"/>
    </row>
    <row r="8" spans="1:19" ht="15" customHeight="1">
      <c r="A8" s="174"/>
      <c r="B8" s="177"/>
      <c r="C8" s="168"/>
      <c r="D8" s="191"/>
      <c r="E8" s="183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83"/>
      <c r="S8" s="179"/>
    </row>
    <row r="9" spans="1:19" ht="15.75" customHeight="1" thickBot="1">
      <c r="A9" s="174"/>
      <c r="B9" s="177"/>
      <c r="C9" s="168"/>
      <c r="D9" s="191"/>
      <c r="E9" s="185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5"/>
      <c r="S9" s="180"/>
    </row>
    <row r="10" spans="1:19" ht="57.75" customHeight="1" thickBot="1">
      <c r="A10" s="175"/>
      <c r="B10" s="169"/>
      <c r="C10" s="168"/>
      <c r="D10" s="192"/>
      <c r="E10" s="171" t="s">
        <v>31</v>
      </c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2"/>
      <c r="R10" s="198" t="s">
        <v>135</v>
      </c>
      <c r="S10" s="198"/>
    </row>
    <row r="11" spans="1:19" ht="15.75" thickBot="1">
      <c r="A11" s="104"/>
      <c r="B11" s="104"/>
      <c r="C11" s="169"/>
      <c r="D11" s="104" t="s">
        <v>61</v>
      </c>
      <c r="E11" s="105" t="s">
        <v>7</v>
      </c>
      <c r="F11" s="105" t="s">
        <v>8</v>
      </c>
      <c r="G11" s="104" t="s">
        <v>9</v>
      </c>
      <c r="H11" s="104" t="s">
        <v>10</v>
      </c>
      <c r="I11" s="104" t="s">
        <v>11</v>
      </c>
      <c r="J11" s="104" t="s">
        <v>12</v>
      </c>
      <c r="K11" s="104" t="s">
        <v>13</v>
      </c>
      <c r="L11" s="104" t="s">
        <v>14</v>
      </c>
      <c r="M11" s="104" t="s">
        <v>15</v>
      </c>
      <c r="N11" s="104" t="s">
        <v>16</v>
      </c>
      <c r="O11" s="104" t="s">
        <v>17</v>
      </c>
      <c r="P11" s="104" t="s">
        <v>18</v>
      </c>
      <c r="Q11" s="104" t="s">
        <v>19</v>
      </c>
      <c r="R11" s="199"/>
      <c r="S11" s="199"/>
    </row>
    <row r="12" spans="1:20" s="68" customFormat="1" ht="13.5" thickBot="1">
      <c r="A12" s="1" t="s">
        <v>78</v>
      </c>
      <c r="B12" s="65" t="s">
        <v>79</v>
      </c>
      <c r="C12" s="85">
        <f>+D12/'Meta Corte Hosp'!I28</f>
        <v>0.9733063505830201</v>
      </c>
      <c r="D12" s="82">
        <f aca="true" t="shared" si="0" ref="D12:D17">+Q12/R12</f>
        <v>0.17519514310494363</v>
      </c>
      <c r="E12" s="74">
        <v>3</v>
      </c>
      <c r="F12" s="74">
        <v>125</v>
      </c>
      <c r="G12" s="75">
        <v>64</v>
      </c>
      <c r="H12" s="75">
        <v>10</v>
      </c>
      <c r="I12" s="75"/>
      <c r="J12" s="75"/>
      <c r="K12" s="75"/>
      <c r="L12" s="75"/>
      <c r="M12" s="75"/>
      <c r="N12" s="75"/>
      <c r="O12" s="75"/>
      <c r="P12" s="75"/>
      <c r="Q12" s="10">
        <f aca="true" t="shared" si="1" ref="Q12:Q17">SUM(E12:P12)</f>
        <v>202</v>
      </c>
      <c r="R12" s="194">
        <v>1153</v>
      </c>
      <c r="S12" s="195"/>
      <c r="T12" s="75"/>
    </row>
    <row r="13" spans="1:20" s="68" customFormat="1" ht="13.5" thickBot="1">
      <c r="A13" s="1" t="s">
        <v>53</v>
      </c>
      <c r="B13" s="65" t="s">
        <v>80</v>
      </c>
      <c r="C13" s="85">
        <f>+D13/'Meta Corte Hosp'!I29</f>
        <v>0</v>
      </c>
      <c r="D13" s="83">
        <f t="shared" si="0"/>
        <v>0</v>
      </c>
      <c r="E13" s="74">
        <v>0</v>
      </c>
      <c r="F13" s="74">
        <v>0</v>
      </c>
      <c r="G13" s="75">
        <v>0</v>
      </c>
      <c r="H13" s="75">
        <v>0</v>
      </c>
      <c r="I13" s="75"/>
      <c r="J13" s="75"/>
      <c r="K13" s="75"/>
      <c r="L13" s="75"/>
      <c r="M13" s="75"/>
      <c r="N13" s="75"/>
      <c r="O13" s="75"/>
      <c r="P13" s="75"/>
      <c r="Q13" s="10">
        <f t="shared" si="1"/>
        <v>0</v>
      </c>
      <c r="R13" s="194">
        <v>1309</v>
      </c>
      <c r="S13" s="195"/>
      <c r="T13" s="75"/>
    </row>
    <row r="14" spans="1:20" s="68" customFormat="1" ht="13.5" thickBot="1">
      <c r="A14" s="1" t="s">
        <v>54</v>
      </c>
      <c r="B14" s="65" t="s">
        <v>81</v>
      </c>
      <c r="C14" s="85">
        <f>+D14/'Meta Corte Hosp'!I30</f>
        <v>0.13200877075222622</v>
      </c>
      <c r="D14" s="83">
        <f t="shared" si="0"/>
        <v>0.023761578735400725</v>
      </c>
      <c r="E14" s="74">
        <v>0</v>
      </c>
      <c r="F14" s="74">
        <v>0</v>
      </c>
      <c r="G14" s="75">
        <v>6</v>
      </c>
      <c r="H14" s="75">
        <v>53</v>
      </c>
      <c r="I14" s="75"/>
      <c r="J14" s="75"/>
      <c r="K14" s="75"/>
      <c r="L14" s="75"/>
      <c r="M14" s="75"/>
      <c r="N14" s="75"/>
      <c r="O14" s="75"/>
      <c r="P14" s="75"/>
      <c r="Q14" s="10">
        <f t="shared" si="1"/>
        <v>59</v>
      </c>
      <c r="R14" s="194">
        <v>2483</v>
      </c>
      <c r="S14" s="195"/>
      <c r="T14" s="75"/>
    </row>
    <row r="15" spans="1:20" s="68" customFormat="1" ht="13.5" thickBot="1">
      <c r="A15" s="1" t="s">
        <v>55</v>
      </c>
      <c r="B15" s="65" t="s">
        <v>82</v>
      </c>
      <c r="C15" s="85">
        <f>+D15/'Meta Corte Hosp'!I31</f>
        <v>1.0739579705096944</v>
      </c>
      <c r="D15" s="83">
        <f t="shared" si="0"/>
        <v>0.19331243469174503</v>
      </c>
      <c r="E15" s="74">
        <v>6</v>
      </c>
      <c r="F15" s="74">
        <v>99</v>
      </c>
      <c r="G15" s="75">
        <v>40</v>
      </c>
      <c r="H15" s="75">
        <v>40</v>
      </c>
      <c r="I15" s="75"/>
      <c r="J15" s="75"/>
      <c r="K15" s="75"/>
      <c r="L15" s="75"/>
      <c r="M15" s="75"/>
      <c r="N15" s="75"/>
      <c r="O15" s="75"/>
      <c r="P15" s="75"/>
      <c r="Q15" s="10">
        <f t="shared" si="1"/>
        <v>185</v>
      </c>
      <c r="R15" s="194">
        <v>957</v>
      </c>
      <c r="S15" s="195"/>
      <c r="T15" s="75"/>
    </row>
    <row r="16" spans="1:20" s="68" customFormat="1" ht="13.5" thickBot="1">
      <c r="A16" s="1" t="s">
        <v>56</v>
      </c>
      <c r="B16" s="65" t="s">
        <v>83</v>
      </c>
      <c r="C16" s="85">
        <f>+D16/'Meta Corte Hosp'!I32</f>
        <v>0.582396434720956</v>
      </c>
      <c r="D16" s="83">
        <f t="shared" si="0"/>
        <v>0.1048313582497721</v>
      </c>
      <c r="E16" s="74">
        <v>0</v>
      </c>
      <c r="F16" s="74">
        <v>30</v>
      </c>
      <c r="G16" s="75">
        <v>52</v>
      </c>
      <c r="H16" s="75">
        <v>33</v>
      </c>
      <c r="I16" s="75"/>
      <c r="J16" s="75"/>
      <c r="K16" s="75"/>
      <c r="L16" s="75"/>
      <c r="M16" s="75"/>
      <c r="N16" s="75"/>
      <c r="O16" s="75"/>
      <c r="P16" s="75"/>
      <c r="Q16" s="10">
        <f t="shared" si="1"/>
        <v>115</v>
      </c>
      <c r="R16" s="194">
        <v>1097</v>
      </c>
      <c r="S16" s="195"/>
      <c r="T16" s="75"/>
    </row>
    <row r="17" spans="1:20" s="68" customFormat="1" ht="13.5" thickBot="1">
      <c r="A17" s="1" t="s">
        <v>57</v>
      </c>
      <c r="B17" s="65" t="s">
        <v>84</v>
      </c>
      <c r="C17" s="85">
        <f>+D17/'Meta Corte Hosp'!I33</f>
        <v>0.27229576270661987</v>
      </c>
      <c r="D17" s="84">
        <f t="shared" si="0"/>
        <v>0.07474518686296716</v>
      </c>
      <c r="E17" s="74">
        <v>36</v>
      </c>
      <c r="F17" s="74">
        <v>10</v>
      </c>
      <c r="G17" s="75">
        <v>7</v>
      </c>
      <c r="H17" s="75">
        <v>13</v>
      </c>
      <c r="I17" s="75"/>
      <c r="J17" s="75"/>
      <c r="K17" s="75"/>
      <c r="L17" s="75"/>
      <c r="M17" s="75"/>
      <c r="N17" s="75"/>
      <c r="O17" s="75"/>
      <c r="P17" s="75"/>
      <c r="Q17" s="10">
        <f t="shared" si="1"/>
        <v>66</v>
      </c>
      <c r="R17" s="194">
        <v>883</v>
      </c>
      <c r="S17" s="195"/>
      <c r="T17" s="75"/>
    </row>
    <row r="18" spans="2:19" s="70" customFormat="1" ht="12.75">
      <c r="B18" s="69" t="s">
        <v>85</v>
      </c>
      <c r="C18" s="71"/>
      <c r="D18" s="93"/>
      <c r="E18" s="76">
        <f>SUM(E12:E17)</f>
        <v>45</v>
      </c>
      <c r="F18" s="76">
        <f aca="true" t="shared" si="2" ref="F18:Q18">SUM(F12:F17)</f>
        <v>264</v>
      </c>
      <c r="G18" s="76">
        <f t="shared" si="2"/>
        <v>169</v>
      </c>
      <c r="H18" s="76">
        <f t="shared" si="2"/>
        <v>149</v>
      </c>
      <c r="I18" s="76">
        <f t="shared" si="2"/>
        <v>0</v>
      </c>
      <c r="J18" s="76">
        <f t="shared" si="2"/>
        <v>0</v>
      </c>
      <c r="K18" s="76">
        <f t="shared" si="2"/>
        <v>0</v>
      </c>
      <c r="L18" s="76">
        <f t="shared" si="2"/>
        <v>0</v>
      </c>
      <c r="M18" s="76">
        <f t="shared" si="2"/>
        <v>0</v>
      </c>
      <c r="N18" s="76">
        <f t="shared" si="2"/>
        <v>0</v>
      </c>
      <c r="O18" s="76">
        <f t="shared" si="2"/>
        <v>0</v>
      </c>
      <c r="P18" s="76">
        <f t="shared" si="2"/>
        <v>0</v>
      </c>
      <c r="Q18" s="76">
        <f t="shared" si="2"/>
        <v>627</v>
      </c>
      <c r="R18" s="196">
        <f>SUM(R12:S17)</f>
        <v>7882</v>
      </c>
      <c r="S18" s="197"/>
    </row>
    <row r="19" ht="15">
      <c r="Q19" s="9"/>
    </row>
  </sheetData>
  <sheetProtection/>
  <mergeCells count="16">
    <mergeCell ref="R2:S9"/>
    <mergeCell ref="A1:A10"/>
    <mergeCell ref="B1:B10"/>
    <mergeCell ref="E2:Q9"/>
    <mergeCell ref="E10:Q10"/>
    <mergeCell ref="C1:C11"/>
    <mergeCell ref="R17:S17"/>
    <mergeCell ref="R18:S18"/>
    <mergeCell ref="D1:D10"/>
    <mergeCell ref="R12:S12"/>
    <mergeCell ref="R13:S13"/>
    <mergeCell ref="R14:S14"/>
    <mergeCell ref="R15:S15"/>
    <mergeCell ref="R16:S16"/>
    <mergeCell ref="R10:S11"/>
    <mergeCell ref="E1:S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9"/>
  <sheetViews>
    <sheetView zoomScalePageLayoutView="0" workbookViewId="0" topLeftCell="A1">
      <pane xSplit="2" ySplit="11" topLeftCell="C12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N30" sqref="N30"/>
    </sheetView>
  </sheetViews>
  <sheetFormatPr defaultColWidth="11.421875" defaultRowHeight="15"/>
  <cols>
    <col min="1" max="1" width="20.28125" style="0" customWidth="1"/>
    <col min="2" max="2" width="36.7109375" style="0" bestFit="1" customWidth="1"/>
    <col min="3" max="3" width="12.57421875" style="0" customWidth="1"/>
    <col min="4" max="4" width="12.140625" style="0" bestFit="1" customWidth="1"/>
    <col min="5" max="6" width="9.57421875" style="21" bestFit="1" customWidth="1"/>
    <col min="7" max="17" width="9.57421875" style="0" bestFit="1" customWidth="1"/>
    <col min="18" max="19" width="9.7109375" style="21" bestFit="1" customWidth="1"/>
    <col min="20" max="20" width="7.57421875" style="0" bestFit="1" customWidth="1"/>
    <col min="21" max="24" width="6.8515625" style="0" bestFit="1" customWidth="1"/>
    <col min="25" max="25" width="8.140625" style="0" bestFit="1" customWidth="1"/>
    <col min="26" max="26" width="7.421875" style="0" customWidth="1"/>
    <col min="27" max="27" width="7.57421875" style="0" bestFit="1" customWidth="1"/>
    <col min="28" max="28" width="7.7109375" style="0" bestFit="1" customWidth="1"/>
    <col min="29" max="29" width="7.140625" style="0" bestFit="1" customWidth="1"/>
    <col min="30" max="30" width="9.7109375" style="0" bestFit="1" customWidth="1"/>
  </cols>
  <sheetData>
    <row r="1" spans="1:30" ht="73.5" customHeight="1" thickBot="1" thickTop="1">
      <c r="A1" s="173" t="s">
        <v>0</v>
      </c>
      <c r="B1" s="167" t="s">
        <v>1</v>
      </c>
      <c r="C1" s="167" t="s">
        <v>63</v>
      </c>
      <c r="D1" s="190" t="s">
        <v>60</v>
      </c>
      <c r="E1" s="200" t="s">
        <v>33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</row>
    <row r="2" spans="1:30" ht="15" customHeight="1">
      <c r="A2" s="174"/>
      <c r="B2" s="177"/>
      <c r="C2" s="168"/>
      <c r="D2" s="191"/>
      <c r="E2" s="181" t="s">
        <v>3</v>
      </c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81" t="s">
        <v>4</v>
      </c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82"/>
    </row>
    <row r="3" spans="1:30" ht="15" customHeight="1">
      <c r="A3" s="174"/>
      <c r="B3" s="177"/>
      <c r="C3" s="168"/>
      <c r="D3" s="191"/>
      <c r="E3" s="183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83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84"/>
    </row>
    <row r="4" spans="1:30" ht="15" customHeight="1">
      <c r="A4" s="174"/>
      <c r="B4" s="177"/>
      <c r="C4" s="168"/>
      <c r="D4" s="191"/>
      <c r="E4" s="183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83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84"/>
    </row>
    <row r="5" spans="1:30" ht="15" customHeight="1">
      <c r="A5" s="174"/>
      <c r="B5" s="177"/>
      <c r="C5" s="168"/>
      <c r="D5" s="191"/>
      <c r="E5" s="183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83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84"/>
    </row>
    <row r="6" spans="1:30" ht="15" customHeight="1">
      <c r="A6" s="174"/>
      <c r="B6" s="177"/>
      <c r="C6" s="168"/>
      <c r="D6" s="191"/>
      <c r="E6" s="183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83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84"/>
    </row>
    <row r="7" spans="1:30" ht="15" customHeight="1">
      <c r="A7" s="174"/>
      <c r="B7" s="177"/>
      <c r="C7" s="168"/>
      <c r="D7" s="191"/>
      <c r="E7" s="183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83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84"/>
    </row>
    <row r="8" spans="1:30" ht="15" customHeight="1">
      <c r="A8" s="174"/>
      <c r="B8" s="177"/>
      <c r="C8" s="168"/>
      <c r="D8" s="191"/>
      <c r="E8" s="183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83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84"/>
    </row>
    <row r="9" spans="1:30" ht="15.75" customHeight="1" thickBot="1">
      <c r="A9" s="174"/>
      <c r="B9" s="177"/>
      <c r="C9" s="168"/>
      <c r="D9" s="191"/>
      <c r="E9" s="185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5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6"/>
    </row>
    <row r="10" spans="1:30" ht="57.75" customHeight="1" thickBot="1">
      <c r="A10" s="175"/>
      <c r="B10" s="169"/>
      <c r="C10" s="168"/>
      <c r="D10" s="192"/>
      <c r="E10" s="171" t="s">
        <v>34</v>
      </c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0" t="s">
        <v>35</v>
      </c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2"/>
    </row>
    <row r="11" spans="1:30" ht="15.75" thickBot="1">
      <c r="A11" s="104"/>
      <c r="B11" s="104"/>
      <c r="C11" s="169"/>
      <c r="D11" s="104" t="s">
        <v>61</v>
      </c>
      <c r="E11" s="105" t="s">
        <v>7</v>
      </c>
      <c r="F11" s="105" t="s">
        <v>8</v>
      </c>
      <c r="G11" s="104" t="s">
        <v>9</v>
      </c>
      <c r="H11" s="104" t="s">
        <v>10</v>
      </c>
      <c r="I11" s="104" t="s">
        <v>11</v>
      </c>
      <c r="J11" s="104" t="s">
        <v>12</v>
      </c>
      <c r="K11" s="104" t="s">
        <v>13</v>
      </c>
      <c r="L11" s="104" t="s">
        <v>14</v>
      </c>
      <c r="M11" s="104" t="s">
        <v>15</v>
      </c>
      <c r="N11" s="104" t="s">
        <v>16</v>
      </c>
      <c r="O11" s="104" t="s">
        <v>17</v>
      </c>
      <c r="P11" s="104" t="s">
        <v>18</v>
      </c>
      <c r="Q11" s="104" t="s">
        <v>19</v>
      </c>
      <c r="R11" s="105" t="s">
        <v>7</v>
      </c>
      <c r="S11" s="105" t="s">
        <v>8</v>
      </c>
      <c r="T11" s="104" t="s">
        <v>9</v>
      </c>
      <c r="U11" s="104" t="s">
        <v>10</v>
      </c>
      <c r="V11" s="104" t="s">
        <v>11</v>
      </c>
      <c r="W11" s="104" t="s">
        <v>12</v>
      </c>
      <c r="X11" s="104" t="s">
        <v>13</v>
      </c>
      <c r="Y11" s="104" t="s">
        <v>14</v>
      </c>
      <c r="Z11" s="104" t="s">
        <v>15</v>
      </c>
      <c r="AA11" s="104" t="s">
        <v>16</v>
      </c>
      <c r="AB11" s="104" t="s">
        <v>17</v>
      </c>
      <c r="AC11" s="104" t="s">
        <v>18</v>
      </c>
      <c r="AD11" s="104" t="s">
        <v>19</v>
      </c>
    </row>
    <row r="12" spans="1:30" s="68" customFormat="1" ht="15.75" customHeight="1" thickBot="1">
      <c r="A12" s="1" t="s">
        <v>78</v>
      </c>
      <c r="B12" s="65" t="s">
        <v>79</v>
      </c>
      <c r="C12" s="85">
        <f>+D12/'Meta Corte Hosp'!J28</f>
        <v>1.0714285714285714</v>
      </c>
      <c r="D12" s="82">
        <f aca="true" t="shared" si="0" ref="D12:D17">+Q12/AD12</f>
        <v>0.8571428571428571</v>
      </c>
      <c r="E12" s="77">
        <v>16</v>
      </c>
      <c r="F12" s="77">
        <v>13</v>
      </c>
      <c r="G12" s="66">
        <v>10</v>
      </c>
      <c r="H12" s="66">
        <v>9</v>
      </c>
      <c r="I12" s="66"/>
      <c r="J12" s="66"/>
      <c r="K12" s="66"/>
      <c r="Q12" s="4">
        <f aca="true" t="shared" si="1" ref="Q12:Q17">SUM(E12:P12)</f>
        <v>48</v>
      </c>
      <c r="R12" s="77">
        <v>19</v>
      </c>
      <c r="S12" s="77">
        <v>14</v>
      </c>
      <c r="T12" s="66">
        <v>11</v>
      </c>
      <c r="U12" s="66">
        <v>12</v>
      </c>
      <c r="V12" s="66"/>
      <c r="W12" s="66"/>
      <c r="X12" s="66"/>
      <c r="AD12" s="4">
        <f aca="true" t="shared" si="2" ref="AD12:AD17">SUM(R12:AC12)</f>
        <v>56</v>
      </c>
    </row>
    <row r="13" spans="1:30" s="68" customFormat="1" ht="15.75" customHeight="1" thickBot="1">
      <c r="A13" s="1" t="s">
        <v>53</v>
      </c>
      <c r="B13" s="65" t="s">
        <v>80</v>
      </c>
      <c r="C13" s="85">
        <f>+D13/'Meta Corte Hosp'!J29</f>
        <v>0.9459459459459459</v>
      </c>
      <c r="D13" s="83">
        <f t="shared" si="0"/>
        <v>0.7567567567567568</v>
      </c>
      <c r="E13" s="77">
        <v>15</v>
      </c>
      <c r="F13" s="77">
        <v>9</v>
      </c>
      <c r="G13" s="66">
        <v>13</v>
      </c>
      <c r="H13" s="66">
        <v>19</v>
      </c>
      <c r="I13" s="66"/>
      <c r="J13" s="66"/>
      <c r="K13" s="66"/>
      <c r="Q13" s="4">
        <f t="shared" si="1"/>
        <v>56</v>
      </c>
      <c r="R13" s="77">
        <v>23</v>
      </c>
      <c r="S13" s="77">
        <v>10</v>
      </c>
      <c r="T13" s="66">
        <v>19</v>
      </c>
      <c r="U13" s="66">
        <v>22</v>
      </c>
      <c r="V13" s="66"/>
      <c r="W13" s="66"/>
      <c r="X13" s="66"/>
      <c r="AD13" s="4">
        <f t="shared" si="2"/>
        <v>74</v>
      </c>
    </row>
    <row r="14" spans="1:30" s="68" customFormat="1" ht="15.75" customHeight="1" thickBot="1">
      <c r="A14" s="1" t="s">
        <v>54</v>
      </c>
      <c r="B14" s="65" t="s">
        <v>81</v>
      </c>
      <c r="C14" s="85">
        <f>+D14/'Meta Corte Hosp'!J30</f>
        <v>0.9455128205128205</v>
      </c>
      <c r="D14" s="83">
        <f t="shared" si="0"/>
        <v>0.7564102564102564</v>
      </c>
      <c r="E14" s="77">
        <v>23</v>
      </c>
      <c r="F14" s="77">
        <v>13</v>
      </c>
      <c r="G14" s="66">
        <v>14</v>
      </c>
      <c r="H14" s="66">
        <v>9</v>
      </c>
      <c r="I14" s="66"/>
      <c r="J14" s="66"/>
      <c r="K14" s="66"/>
      <c r="Q14" s="4">
        <f t="shared" si="1"/>
        <v>59</v>
      </c>
      <c r="R14" s="77">
        <v>28</v>
      </c>
      <c r="S14" s="77">
        <v>16</v>
      </c>
      <c r="T14" s="66">
        <v>19</v>
      </c>
      <c r="U14" s="66">
        <v>15</v>
      </c>
      <c r="V14" s="66"/>
      <c r="W14" s="66"/>
      <c r="X14" s="66"/>
      <c r="AD14" s="4">
        <f t="shared" si="2"/>
        <v>78</v>
      </c>
    </row>
    <row r="15" spans="1:30" s="68" customFormat="1" ht="15.75" customHeight="1" thickBot="1">
      <c r="A15" s="1" t="s">
        <v>55</v>
      </c>
      <c r="B15" s="65" t="s">
        <v>82</v>
      </c>
      <c r="C15" s="85">
        <f>+D15/'Meta Corte Hosp'!J31</f>
        <v>0.8116883116883117</v>
      </c>
      <c r="D15" s="83">
        <f t="shared" si="0"/>
        <v>0.6493506493506493</v>
      </c>
      <c r="E15" s="77">
        <v>11</v>
      </c>
      <c r="F15" s="77">
        <v>16</v>
      </c>
      <c r="G15" s="66">
        <v>10</v>
      </c>
      <c r="H15" s="66">
        <v>13</v>
      </c>
      <c r="I15" s="66"/>
      <c r="J15" s="66"/>
      <c r="K15" s="66"/>
      <c r="Q15" s="4">
        <f t="shared" si="1"/>
        <v>50</v>
      </c>
      <c r="R15" s="77">
        <v>24</v>
      </c>
      <c r="S15" s="77">
        <v>19</v>
      </c>
      <c r="T15" s="66">
        <v>16</v>
      </c>
      <c r="U15" s="66">
        <v>18</v>
      </c>
      <c r="V15" s="66"/>
      <c r="W15" s="66"/>
      <c r="X15" s="66"/>
      <c r="AD15" s="4">
        <f t="shared" si="2"/>
        <v>77</v>
      </c>
    </row>
    <row r="16" spans="1:30" s="68" customFormat="1" ht="15.75" customHeight="1" thickBot="1">
      <c r="A16" s="1" t="s">
        <v>56</v>
      </c>
      <c r="B16" s="65" t="s">
        <v>83</v>
      </c>
      <c r="C16" s="85">
        <f>+D16/'Meta Corte Hosp'!J32</f>
        <v>0.9859154929577464</v>
      </c>
      <c r="D16" s="83">
        <f t="shared" si="0"/>
        <v>0.7887323943661971</v>
      </c>
      <c r="E16" s="77">
        <v>13</v>
      </c>
      <c r="F16" s="77">
        <v>7</v>
      </c>
      <c r="G16" s="66">
        <v>23</v>
      </c>
      <c r="H16" s="66">
        <v>13</v>
      </c>
      <c r="I16" s="66"/>
      <c r="J16" s="66"/>
      <c r="K16" s="66"/>
      <c r="Q16" s="4">
        <f t="shared" si="1"/>
        <v>56</v>
      </c>
      <c r="R16" s="77">
        <v>19</v>
      </c>
      <c r="S16" s="77">
        <v>10</v>
      </c>
      <c r="T16" s="66">
        <v>27</v>
      </c>
      <c r="U16" s="66">
        <v>15</v>
      </c>
      <c r="V16" s="66"/>
      <c r="W16" s="66"/>
      <c r="X16" s="66"/>
      <c r="AD16" s="4">
        <f t="shared" si="2"/>
        <v>71</v>
      </c>
    </row>
    <row r="17" spans="1:30" s="68" customFormat="1" ht="15.75" customHeight="1" thickBot="1">
      <c r="A17" s="1" t="s">
        <v>57</v>
      </c>
      <c r="B17" s="65" t="s">
        <v>84</v>
      </c>
      <c r="C17" s="85">
        <f>+D17/'Meta Corte Hosp'!J33</f>
        <v>1.1726078799249533</v>
      </c>
      <c r="D17" s="84">
        <f t="shared" si="0"/>
        <v>0.9615384615384616</v>
      </c>
      <c r="E17" s="77">
        <v>5</v>
      </c>
      <c r="F17" s="77">
        <v>6</v>
      </c>
      <c r="G17" s="66">
        <v>7</v>
      </c>
      <c r="H17" s="66">
        <v>7</v>
      </c>
      <c r="I17" s="66"/>
      <c r="J17" s="66"/>
      <c r="K17" s="66"/>
      <c r="Q17" s="4">
        <f t="shared" si="1"/>
        <v>25</v>
      </c>
      <c r="R17" s="77">
        <v>5</v>
      </c>
      <c r="S17" s="77">
        <v>6</v>
      </c>
      <c r="T17" s="66">
        <v>8</v>
      </c>
      <c r="U17" s="66">
        <v>7</v>
      </c>
      <c r="V17" s="66"/>
      <c r="W17" s="66"/>
      <c r="X17" s="66"/>
      <c r="AD17" s="4">
        <f t="shared" si="2"/>
        <v>26</v>
      </c>
    </row>
    <row r="18" spans="2:30" s="70" customFormat="1" ht="15.75" customHeight="1">
      <c r="B18" s="69" t="s">
        <v>85</v>
      </c>
      <c r="C18" s="71"/>
      <c r="D18" s="92"/>
      <c r="E18" s="76">
        <f>SUM(E12:E17)</f>
        <v>83</v>
      </c>
      <c r="F18" s="76">
        <f aca="true" t="shared" si="3" ref="F18:P18">SUM(F12:F17)</f>
        <v>64</v>
      </c>
      <c r="G18" s="76">
        <f t="shared" si="3"/>
        <v>77</v>
      </c>
      <c r="H18" s="76">
        <f t="shared" si="3"/>
        <v>70</v>
      </c>
      <c r="I18" s="76">
        <f t="shared" si="3"/>
        <v>0</v>
      </c>
      <c r="J18" s="76">
        <f t="shared" si="3"/>
        <v>0</v>
      </c>
      <c r="K18" s="76">
        <f t="shared" si="3"/>
        <v>0</v>
      </c>
      <c r="L18" s="76">
        <f t="shared" si="3"/>
        <v>0</v>
      </c>
      <c r="M18" s="76">
        <f t="shared" si="3"/>
        <v>0</v>
      </c>
      <c r="N18" s="76">
        <f t="shared" si="3"/>
        <v>0</v>
      </c>
      <c r="O18" s="76">
        <f t="shared" si="3"/>
        <v>0</v>
      </c>
      <c r="P18" s="76">
        <f t="shared" si="3"/>
        <v>0</v>
      </c>
      <c r="Q18" s="76">
        <f>SUM(Q12:Q17)</f>
        <v>294</v>
      </c>
      <c r="R18" s="76">
        <f aca="true" t="shared" si="4" ref="R18:AD18">SUM(R12:R17)</f>
        <v>118</v>
      </c>
      <c r="S18" s="76">
        <f t="shared" si="4"/>
        <v>75</v>
      </c>
      <c r="T18" s="76">
        <f t="shared" si="4"/>
        <v>100</v>
      </c>
      <c r="U18" s="76">
        <f t="shared" si="4"/>
        <v>89</v>
      </c>
      <c r="V18" s="76">
        <f t="shared" si="4"/>
        <v>0</v>
      </c>
      <c r="W18" s="76">
        <f t="shared" si="4"/>
        <v>0</v>
      </c>
      <c r="X18" s="76">
        <f t="shared" si="4"/>
        <v>0</v>
      </c>
      <c r="Y18" s="76">
        <f t="shared" si="4"/>
        <v>0</v>
      </c>
      <c r="Z18" s="76">
        <f t="shared" si="4"/>
        <v>0</v>
      </c>
      <c r="AA18" s="76">
        <f t="shared" si="4"/>
        <v>0</v>
      </c>
      <c r="AB18" s="76">
        <f t="shared" si="4"/>
        <v>0</v>
      </c>
      <c r="AC18" s="76">
        <f t="shared" si="4"/>
        <v>0</v>
      </c>
      <c r="AD18" s="76">
        <f t="shared" si="4"/>
        <v>382</v>
      </c>
    </row>
    <row r="19" ht="15">
      <c r="AD19" s="9"/>
    </row>
  </sheetData>
  <sheetProtection/>
  <mergeCells count="9">
    <mergeCell ref="R2:AD9"/>
    <mergeCell ref="D1:D10"/>
    <mergeCell ref="E1:AD1"/>
    <mergeCell ref="A1:A10"/>
    <mergeCell ref="B1:B10"/>
    <mergeCell ref="E2:Q9"/>
    <mergeCell ref="E10:Q10"/>
    <mergeCell ref="C1:C11"/>
    <mergeCell ref="R10:AD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pane xSplit="2" ySplit="11" topLeftCell="C12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R12" sqref="R12:S17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4.140625" style="0" customWidth="1"/>
    <col min="5" max="5" width="11.8515625" style="21" bestFit="1" customWidth="1"/>
    <col min="6" max="6" width="9.8515625" style="21" bestFit="1" customWidth="1"/>
    <col min="7" max="9" width="8.00390625" style="0" bestFit="1" customWidth="1"/>
    <col min="10" max="10" width="8.57421875" style="0" bestFit="1" customWidth="1"/>
    <col min="11" max="11" width="7.7109375" style="0" customWidth="1"/>
    <col min="12" max="13" width="7.8515625" style="0" bestFit="1" customWidth="1"/>
    <col min="14" max="14" width="7.28125" style="0" customWidth="1"/>
    <col min="15" max="16" width="7.8515625" style="0" bestFit="1" customWidth="1"/>
    <col min="17" max="17" width="11.8515625" style="0" bestFit="1" customWidth="1"/>
  </cols>
  <sheetData>
    <row r="1" spans="1:19" ht="73.5" customHeight="1" thickBot="1" thickTop="1">
      <c r="A1" s="173" t="s">
        <v>0</v>
      </c>
      <c r="B1" s="167" t="s">
        <v>1</v>
      </c>
      <c r="C1" s="167" t="s">
        <v>63</v>
      </c>
      <c r="D1" s="190" t="s">
        <v>60</v>
      </c>
      <c r="E1" s="200" t="s">
        <v>36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2" spans="1:19" ht="15" customHeight="1">
      <c r="A2" s="174"/>
      <c r="B2" s="177"/>
      <c r="C2" s="168"/>
      <c r="D2" s="191"/>
      <c r="E2" s="181" t="s">
        <v>3</v>
      </c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81" t="s">
        <v>4</v>
      </c>
      <c r="S2" s="178"/>
    </row>
    <row r="3" spans="1:19" ht="15" customHeight="1">
      <c r="A3" s="174"/>
      <c r="B3" s="177"/>
      <c r="C3" s="168"/>
      <c r="D3" s="191"/>
      <c r="E3" s="183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83"/>
      <c r="S3" s="179"/>
    </row>
    <row r="4" spans="1:19" ht="15" customHeight="1">
      <c r="A4" s="174"/>
      <c r="B4" s="177"/>
      <c r="C4" s="168"/>
      <c r="D4" s="191"/>
      <c r="E4" s="183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83"/>
      <c r="S4" s="179"/>
    </row>
    <row r="5" spans="1:19" ht="15" customHeight="1">
      <c r="A5" s="174"/>
      <c r="B5" s="177"/>
      <c r="C5" s="168"/>
      <c r="D5" s="191"/>
      <c r="E5" s="183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83"/>
      <c r="S5" s="179"/>
    </row>
    <row r="6" spans="1:19" ht="15" customHeight="1">
      <c r="A6" s="174"/>
      <c r="B6" s="177"/>
      <c r="C6" s="168"/>
      <c r="D6" s="191"/>
      <c r="E6" s="183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83"/>
      <c r="S6" s="179"/>
    </row>
    <row r="7" spans="1:19" ht="15" customHeight="1">
      <c r="A7" s="174"/>
      <c r="B7" s="177"/>
      <c r="C7" s="168"/>
      <c r="D7" s="191"/>
      <c r="E7" s="183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83"/>
      <c r="S7" s="179"/>
    </row>
    <row r="8" spans="1:19" ht="15" customHeight="1">
      <c r="A8" s="174"/>
      <c r="B8" s="177"/>
      <c r="C8" s="168"/>
      <c r="D8" s="191"/>
      <c r="E8" s="183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83"/>
      <c r="S8" s="179"/>
    </row>
    <row r="9" spans="1:19" ht="15.75" customHeight="1" thickBot="1">
      <c r="A9" s="174"/>
      <c r="B9" s="177"/>
      <c r="C9" s="168"/>
      <c r="D9" s="191"/>
      <c r="E9" s="185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5"/>
      <c r="S9" s="180"/>
    </row>
    <row r="10" spans="1:19" ht="57.75" customHeight="1" thickBot="1">
      <c r="A10" s="175"/>
      <c r="B10" s="169"/>
      <c r="C10" s="168"/>
      <c r="D10" s="192"/>
      <c r="E10" s="171" t="s">
        <v>37</v>
      </c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2"/>
      <c r="R10" s="198" t="s">
        <v>126</v>
      </c>
      <c r="S10" s="198"/>
    </row>
    <row r="11" spans="1:19" ht="15.75" thickBot="1">
      <c r="A11" s="104"/>
      <c r="B11" s="104"/>
      <c r="C11" s="169"/>
      <c r="D11" s="104" t="s">
        <v>61</v>
      </c>
      <c r="E11" s="105" t="s">
        <v>7</v>
      </c>
      <c r="F11" s="105" t="s">
        <v>8</v>
      </c>
      <c r="G11" s="104" t="s">
        <v>9</v>
      </c>
      <c r="H11" s="104" t="s">
        <v>10</v>
      </c>
      <c r="I11" s="104" t="s">
        <v>11</v>
      </c>
      <c r="J11" s="104" t="s">
        <v>12</v>
      </c>
      <c r="K11" s="104" t="s">
        <v>13</v>
      </c>
      <c r="L11" s="104" t="s">
        <v>14</v>
      </c>
      <c r="M11" s="104" t="s">
        <v>15</v>
      </c>
      <c r="N11" s="104" t="s">
        <v>16</v>
      </c>
      <c r="O11" s="104" t="s">
        <v>17</v>
      </c>
      <c r="P11" s="104" t="s">
        <v>18</v>
      </c>
      <c r="Q11" s="104" t="s">
        <v>19</v>
      </c>
      <c r="R11" s="199"/>
      <c r="S11" s="199"/>
    </row>
    <row r="12" spans="1:20" s="68" customFormat="1" ht="13.5" thickBot="1">
      <c r="A12" s="1" t="s">
        <v>78</v>
      </c>
      <c r="B12" s="65" t="s">
        <v>79</v>
      </c>
      <c r="C12" s="85">
        <f>+D12/'Meta Corte Hosp'!K28</f>
        <v>0.5337039051014038</v>
      </c>
      <c r="D12" s="82">
        <f aca="true" t="shared" si="0" ref="D12:D17">+Q12/R12</f>
        <v>0.057640021750951606</v>
      </c>
      <c r="E12" s="77">
        <v>25</v>
      </c>
      <c r="F12" s="77">
        <v>22</v>
      </c>
      <c r="G12" s="66">
        <v>14</v>
      </c>
      <c r="H12" s="66">
        <v>45</v>
      </c>
      <c r="I12" s="66"/>
      <c r="J12" s="66"/>
      <c r="K12" s="66"/>
      <c r="Q12" s="10">
        <f aca="true" t="shared" si="1" ref="Q12:Q17">SUM(E12:P12)</f>
        <v>106</v>
      </c>
      <c r="R12" s="194">
        <v>1839</v>
      </c>
      <c r="S12" s="195"/>
      <c r="T12" s="75"/>
    </row>
    <row r="13" spans="1:20" s="68" customFormat="1" ht="13.5" thickBot="1">
      <c r="A13" s="1" t="s">
        <v>53</v>
      </c>
      <c r="B13" s="65" t="s">
        <v>80</v>
      </c>
      <c r="C13" s="85">
        <f>+D13/'Meta Corte Hosp'!K29</f>
        <v>0.438022527389983</v>
      </c>
      <c r="D13" s="83">
        <f t="shared" si="0"/>
        <v>0.0335087233453337</v>
      </c>
      <c r="E13" s="77">
        <v>16</v>
      </c>
      <c r="F13" s="77">
        <v>32</v>
      </c>
      <c r="G13" s="66">
        <v>24</v>
      </c>
      <c r="H13" s="66">
        <v>49</v>
      </c>
      <c r="I13" s="66"/>
      <c r="J13" s="66"/>
      <c r="K13" s="66"/>
      <c r="Q13" s="10">
        <f t="shared" si="1"/>
        <v>121</v>
      </c>
      <c r="R13" s="194">
        <v>3611</v>
      </c>
      <c r="S13" s="195"/>
      <c r="T13" s="75"/>
    </row>
    <row r="14" spans="1:20" s="68" customFormat="1" ht="13.5" thickBot="1">
      <c r="A14" s="1" t="s">
        <v>54</v>
      </c>
      <c r="B14" s="65" t="s">
        <v>81</v>
      </c>
      <c r="C14" s="85">
        <f>+D14/'Meta Corte Hosp'!K30</f>
        <v>0.48799041242366176</v>
      </c>
      <c r="D14" s="83">
        <f t="shared" si="0"/>
        <v>0.05270296454175547</v>
      </c>
      <c r="E14" s="77">
        <v>74</v>
      </c>
      <c r="F14" s="77">
        <v>64</v>
      </c>
      <c r="G14" s="66">
        <v>66</v>
      </c>
      <c r="H14" s="66">
        <v>68</v>
      </c>
      <c r="I14" s="66"/>
      <c r="J14" s="66"/>
      <c r="K14" s="66"/>
      <c r="Q14" s="10">
        <f t="shared" si="1"/>
        <v>272</v>
      </c>
      <c r="R14" s="194">
        <v>5161</v>
      </c>
      <c r="S14" s="195"/>
      <c r="T14" s="75"/>
    </row>
    <row r="15" spans="1:20" s="68" customFormat="1" ht="13.5" thickBot="1">
      <c r="A15" s="1" t="s">
        <v>55</v>
      </c>
      <c r="B15" s="65" t="s">
        <v>82</v>
      </c>
      <c r="C15" s="85">
        <f>+D15/'Meta Corte Hosp'!K31</f>
        <v>0.4132231404958678</v>
      </c>
      <c r="D15" s="83">
        <f t="shared" si="0"/>
        <v>0.04462809917355372</v>
      </c>
      <c r="E15" s="77">
        <v>10</v>
      </c>
      <c r="F15" s="77">
        <v>25</v>
      </c>
      <c r="G15" s="66">
        <v>22</v>
      </c>
      <c r="H15" s="66">
        <v>51</v>
      </c>
      <c r="I15" s="66"/>
      <c r="J15" s="66"/>
      <c r="K15" s="66"/>
      <c r="Q15" s="10">
        <f t="shared" si="1"/>
        <v>108</v>
      </c>
      <c r="R15" s="194">
        <v>2420</v>
      </c>
      <c r="S15" s="195"/>
      <c r="T15" s="75"/>
    </row>
    <row r="16" spans="1:20" s="68" customFormat="1" ht="13.5" thickBot="1">
      <c r="A16" s="1" t="s">
        <v>56</v>
      </c>
      <c r="B16" s="65" t="s">
        <v>83</v>
      </c>
      <c r="C16" s="85">
        <f>+D16/'Meta Corte Hosp'!K32</f>
        <v>1.1578931008221818</v>
      </c>
      <c r="D16" s="83">
        <f t="shared" si="0"/>
        <v>0.12505245488879563</v>
      </c>
      <c r="E16" s="77">
        <v>57</v>
      </c>
      <c r="F16" s="77">
        <v>76</v>
      </c>
      <c r="G16" s="66">
        <v>68</v>
      </c>
      <c r="H16" s="66">
        <v>97</v>
      </c>
      <c r="I16" s="66"/>
      <c r="J16" s="66"/>
      <c r="K16" s="66"/>
      <c r="Q16" s="10">
        <f t="shared" si="1"/>
        <v>298</v>
      </c>
      <c r="R16" s="194">
        <v>2383</v>
      </c>
      <c r="S16" s="195"/>
      <c r="T16" s="75"/>
    </row>
    <row r="17" spans="1:20" s="68" customFormat="1" ht="16.5" customHeight="1" thickBot="1">
      <c r="A17" s="1" t="s">
        <v>57</v>
      </c>
      <c r="B17" s="65" t="s">
        <v>84</v>
      </c>
      <c r="C17" s="85">
        <f>+D17/'Meta Corte Hosp'!K33</f>
        <v>0.9813961426864652</v>
      </c>
      <c r="D17" s="84">
        <f t="shared" si="0"/>
        <v>0.10599078341013825</v>
      </c>
      <c r="E17" s="77">
        <v>16</v>
      </c>
      <c r="F17" s="77">
        <v>45</v>
      </c>
      <c r="G17" s="66">
        <v>23</v>
      </c>
      <c r="H17" s="66">
        <v>31</v>
      </c>
      <c r="I17" s="66"/>
      <c r="J17" s="66"/>
      <c r="K17" s="66"/>
      <c r="Q17" s="10">
        <f t="shared" si="1"/>
        <v>115</v>
      </c>
      <c r="R17" s="194">
        <v>1085</v>
      </c>
      <c r="S17" s="195"/>
      <c r="T17" s="75"/>
    </row>
    <row r="18" spans="1:19" s="68" customFormat="1" ht="12.75">
      <c r="A18" s="70"/>
      <c r="B18" s="69" t="s">
        <v>85</v>
      </c>
      <c r="C18" s="65"/>
      <c r="D18" s="94"/>
      <c r="E18" s="76">
        <f>SUM(E12:E17)</f>
        <v>198</v>
      </c>
      <c r="F18" s="76">
        <f aca="true" t="shared" si="2" ref="F18:P18">SUM(F12:F17)</f>
        <v>264</v>
      </c>
      <c r="G18" s="76">
        <f t="shared" si="2"/>
        <v>217</v>
      </c>
      <c r="H18" s="76">
        <f t="shared" si="2"/>
        <v>341</v>
      </c>
      <c r="I18" s="76">
        <f t="shared" si="2"/>
        <v>0</v>
      </c>
      <c r="J18" s="76">
        <f t="shared" si="2"/>
        <v>0</v>
      </c>
      <c r="K18" s="76">
        <f t="shared" si="2"/>
        <v>0</v>
      </c>
      <c r="L18" s="76">
        <f t="shared" si="2"/>
        <v>0</v>
      </c>
      <c r="M18" s="76">
        <f t="shared" si="2"/>
        <v>0</v>
      </c>
      <c r="N18" s="76">
        <f t="shared" si="2"/>
        <v>0</v>
      </c>
      <c r="O18" s="76">
        <f t="shared" si="2"/>
        <v>0</v>
      </c>
      <c r="P18" s="76">
        <f t="shared" si="2"/>
        <v>0</v>
      </c>
      <c r="Q18" s="76">
        <f>SUM(Q12:Q17)</f>
        <v>1020</v>
      </c>
      <c r="R18" s="202">
        <f>SUM(R12:S17)</f>
        <v>16499</v>
      </c>
      <c r="S18" s="203"/>
    </row>
    <row r="21" ht="15">
      <c r="Q21" s="9"/>
    </row>
  </sheetData>
  <sheetProtection/>
  <mergeCells count="16">
    <mergeCell ref="R18:S18"/>
    <mergeCell ref="R12:S12"/>
    <mergeCell ref="R13:S13"/>
    <mergeCell ref="R14:S14"/>
    <mergeCell ref="R15:S15"/>
    <mergeCell ref="R16:S16"/>
    <mergeCell ref="R17:S17"/>
    <mergeCell ref="R2:S9"/>
    <mergeCell ref="R10:S11"/>
    <mergeCell ref="E1:S1"/>
    <mergeCell ref="A1:A10"/>
    <mergeCell ref="B1:B10"/>
    <mergeCell ref="E2:Q9"/>
    <mergeCell ref="E10:Q10"/>
    <mergeCell ref="D1:D10"/>
    <mergeCell ref="C1:C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8"/>
  <sheetViews>
    <sheetView zoomScalePageLayoutView="0" workbookViewId="0" topLeftCell="A1">
      <pane xSplit="2" ySplit="11" topLeftCell="C12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F21" sqref="F21"/>
    </sheetView>
  </sheetViews>
  <sheetFormatPr defaultColWidth="11.421875" defaultRowHeight="15"/>
  <cols>
    <col min="1" max="1" width="20.28125" style="0" bestFit="1" customWidth="1"/>
    <col min="2" max="2" width="32.7109375" style="0" bestFit="1" customWidth="1"/>
    <col min="3" max="3" width="14.421875" style="0" customWidth="1"/>
    <col min="4" max="4" width="11.57421875" style="0" bestFit="1" customWidth="1"/>
    <col min="5" max="5" width="9.7109375" style="21" bestFit="1" customWidth="1"/>
    <col min="6" max="6" width="7.00390625" style="21" bestFit="1" customWidth="1"/>
    <col min="7" max="16" width="6.8515625" style="21" bestFit="1" customWidth="1"/>
    <col min="17" max="18" width="9.7109375" style="21" bestFit="1" customWidth="1"/>
    <col min="19" max="19" width="8.7109375" style="21" bestFit="1" customWidth="1"/>
    <col min="20" max="29" width="6.8515625" style="21" bestFit="1" customWidth="1"/>
    <col min="30" max="30" width="9.7109375" style="21" bestFit="1" customWidth="1"/>
  </cols>
  <sheetData>
    <row r="1" spans="1:30" ht="73.5" customHeight="1" thickBot="1" thickTop="1">
      <c r="A1" s="173" t="s">
        <v>0</v>
      </c>
      <c r="B1" s="167" t="s">
        <v>1</v>
      </c>
      <c r="C1" s="167" t="s">
        <v>63</v>
      </c>
      <c r="D1" s="190" t="s">
        <v>60</v>
      </c>
      <c r="E1" s="200" t="s">
        <v>38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</row>
    <row r="2" spans="1:30" ht="15" customHeight="1">
      <c r="A2" s="174"/>
      <c r="B2" s="177"/>
      <c r="C2" s="168"/>
      <c r="D2" s="191"/>
      <c r="E2" s="204" t="s">
        <v>3</v>
      </c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4" t="s">
        <v>4</v>
      </c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10"/>
    </row>
    <row r="3" spans="1:30" ht="15" customHeight="1">
      <c r="A3" s="174"/>
      <c r="B3" s="177"/>
      <c r="C3" s="168"/>
      <c r="D3" s="191"/>
      <c r="E3" s="206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6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11"/>
    </row>
    <row r="4" spans="1:30" ht="15" customHeight="1">
      <c r="A4" s="174"/>
      <c r="B4" s="177"/>
      <c r="C4" s="168"/>
      <c r="D4" s="191"/>
      <c r="E4" s="206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6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11"/>
    </row>
    <row r="5" spans="1:30" ht="15" customHeight="1">
      <c r="A5" s="174"/>
      <c r="B5" s="177"/>
      <c r="C5" s="168"/>
      <c r="D5" s="191"/>
      <c r="E5" s="206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6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11"/>
    </row>
    <row r="6" spans="1:30" ht="15" customHeight="1">
      <c r="A6" s="174"/>
      <c r="B6" s="177"/>
      <c r="C6" s="168"/>
      <c r="D6" s="191"/>
      <c r="E6" s="206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6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11"/>
    </row>
    <row r="7" spans="1:30" ht="15" customHeight="1">
      <c r="A7" s="174"/>
      <c r="B7" s="177"/>
      <c r="C7" s="168"/>
      <c r="D7" s="191"/>
      <c r="E7" s="206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6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11"/>
    </row>
    <row r="8" spans="1:30" ht="15" customHeight="1">
      <c r="A8" s="174"/>
      <c r="B8" s="177"/>
      <c r="C8" s="168"/>
      <c r="D8" s="191"/>
      <c r="E8" s="206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6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11"/>
    </row>
    <row r="9" spans="1:30" ht="15.75" customHeight="1" thickBot="1">
      <c r="A9" s="174"/>
      <c r="B9" s="177"/>
      <c r="C9" s="168"/>
      <c r="D9" s="191"/>
      <c r="E9" s="208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8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12"/>
    </row>
    <row r="10" spans="1:30" ht="57.75" customHeight="1" thickBot="1">
      <c r="A10" s="175"/>
      <c r="B10" s="169"/>
      <c r="C10" s="168"/>
      <c r="D10" s="192"/>
      <c r="E10" s="213" t="s">
        <v>39</v>
      </c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4" t="s">
        <v>40</v>
      </c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5"/>
    </row>
    <row r="11" spans="1:30" ht="15.75" thickBot="1">
      <c r="A11" s="104"/>
      <c r="B11" s="104"/>
      <c r="C11" s="169"/>
      <c r="D11" s="104" t="s">
        <v>61</v>
      </c>
      <c r="E11" s="105" t="s">
        <v>7</v>
      </c>
      <c r="F11" s="105" t="s">
        <v>8</v>
      </c>
      <c r="G11" s="105" t="s">
        <v>9</v>
      </c>
      <c r="H11" s="105" t="s">
        <v>10</v>
      </c>
      <c r="I11" s="105" t="s">
        <v>11</v>
      </c>
      <c r="J11" s="105" t="s">
        <v>12</v>
      </c>
      <c r="K11" s="105" t="s">
        <v>13</v>
      </c>
      <c r="L11" s="105" t="s">
        <v>14</v>
      </c>
      <c r="M11" s="105" t="s">
        <v>15</v>
      </c>
      <c r="N11" s="105" t="s">
        <v>16</v>
      </c>
      <c r="O11" s="105" t="s">
        <v>17</v>
      </c>
      <c r="P11" s="105" t="s">
        <v>18</v>
      </c>
      <c r="Q11" s="105" t="s">
        <v>19</v>
      </c>
      <c r="R11" s="105" t="s">
        <v>7</v>
      </c>
      <c r="S11" s="105" t="s">
        <v>8</v>
      </c>
      <c r="T11" s="105" t="s">
        <v>9</v>
      </c>
      <c r="U11" s="105" t="s">
        <v>10</v>
      </c>
      <c r="V11" s="105" t="s">
        <v>11</v>
      </c>
      <c r="W11" s="105" t="s">
        <v>12</v>
      </c>
      <c r="X11" s="105" t="s">
        <v>13</v>
      </c>
      <c r="Y11" s="105" t="s">
        <v>14</v>
      </c>
      <c r="Z11" s="105" t="s">
        <v>15</v>
      </c>
      <c r="AA11" s="105" t="s">
        <v>16</v>
      </c>
      <c r="AB11" s="105" t="s">
        <v>17</v>
      </c>
      <c r="AC11" s="105" t="s">
        <v>18</v>
      </c>
      <c r="AD11" s="105" t="s">
        <v>19</v>
      </c>
    </row>
    <row r="12" spans="1:30" s="68" customFormat="1" ht="13.5" thickBot="1">
      <c r="A12" s="1" t="s">
        <v>78</v>
      </c>
      <c r="B12" s="65" t="s">
        <v>79</v>
      </c>
      <c r="C12" s="85">
        <f>+D12/'Meta Corte Hosp'!L28</f>
        <v>1.0204081632653061</v>
      </c>
      <c r="D12" s="82">
        <f aca="true" t="shared" si="0" ref="D12:D17">+Q12/AD12</f>
        <v>1</v>
      </c>
      <c r="E12" s="78">
        <v>1</v>
      </c>
      <c r="F12" s="78">
        <v>0</v>
      </c>
      <c r="G12" s="78"/>
      <c r="H12" s="78">
        <v>3</v>
      </c>
      <c r="I12" s="78"/>
      <c r="J12" s="78"/>
      <c r="K12" s="78"/>
      <c r="L12" s="78"/>
      <c r="M12" s="78"/>
      <c r="N12" s="78"/>
      <c r="O12" s="78"/>
      <c r="P12" s="78"/>
      <c r="Q12" s="10">
        <f aca="true" t="shared" si="1" ref="Q12:Q17">SUM(E12:P12)</f>
        <v>4</v>
      </c>
      <c r="R12" s="78">
        <v>1</v>
      </c>
      <c r="S12" s="78">
        <v>0</v>
      </c>
      <c r="T12" s="78"/>
      <c r="U12" s="78">
        <v>3</v>
      </c>
      <c r="V12" s="78"/>
      <c r="W12" s="78"/>
      <c r="X12" s="78"/>
      <c r="Y12" s="78"/>
      <c r="Z12" s="78"/>
      <c r="AA12" s="78"/>
      <c r="AB12" s="78"/>
      <c r="AC12" s="78"/>
      <c r="AD12" s="10">
        <f aca="true" t="shared" si="2" ref="AD12:AD17">SUM(R12:AC12)</f>
        <v>4</v>
      </c>
    </row>
    <row r="13" spans="1:30" s="68" customFormat="1" ht="13.5" thickBot="1">
      <c r="A13" s="1" t="s">
        <v>53</v>
      </c>
      <c r="B13" s="65" t="s">
        <v>80</v>
      </c>
      <c r="C13" s="85">
        <f>+D13/'Meta Corte Hosp'!L29</f>
        <v>1.0025062656641603</v>
      </c>
      <c r="D13" s="83">
        <f t="shared" si="0"/>
        <v>0.9824561403508771</v>
      </c>
      <c r="E13" s="78">
        <v>11</v>
      </c>
      <c r="F13" s="78">
        <v>12</v>
      </c>
      <c r="G13" s="78">
        <v>16</v>
      </c>
      <c r="H13" s="78">
        <v>17</v>
      </c>
      <c r="I13" s="78"/>
      <c r="J13" s="78"/>
      <c r="K13" s="78"/>
      <c r="L13" s="78"/>
      <c r="M13" s="78"/>
      <c r="N13" s="78"/>
      <c r="O13" s="78"/>
      <c r="P13" s="78"/>
      <c r="Q13" s="10">
        <f t="shared" si="1"/>
        <v>56</v>
      </c>
      <c r="R13" s="78">
        <v>11</v>
      </c>
      <c r="S13" s="78">
        <v>13</v>
      </c>
      <c r="T13" s="78">
        <v>16</v>
      </c>
      <c r="U13" s="78">
        <v>17</v>
      </c>
      <c r="V13" s="78"/>
      <c r="W13" s="78"/>
      <c r="X13" s="78"/>
      <c r="Y13" s="78"/>
      <c r="Z13" s="78"/>
      <c r="AA13" s="78"/>
      <c r="AB13" s="78"/>
      <c r="AC13" s="78"/>
      <c r="AD13" s="10">
        <f t="shared" si="2"/>
        <v>57</v>
      </c>
    </row>
    <row r="14" spans="1:30" s="68" customFormat="1" ht="13.5" thickBot="1">
      <c r="A14" s="1" t="s">
        <v>54</v>
      </c>
      <c r="B14" s="65" t="s">
        <v>81</v>
      </c>
      <c r="C14" s="85">
        <f>+D14/'Meta Corte Hosp'!L30</f>
        <v>1.0204081632653061</v>
      </c>
      <c r="D14" s="83">
        <f t="shared" si="0"/>
        <v>1</v>
      </c>
      <c r="E14" s="78">
        <v>8</v>
      </c>
      <c r="F14" s="78">
        <v>13</v>
      </c>
      <c r="G14" s="78">
        <v>0</v>
      </c>
      <c r="H14" s="78">
        <v>11</v>
      </c>
      <c r="I14" s="78"/>
      <c r="J14" s="78"/>
      <c r="K14" s="78"/>
      <c r="L14" s="78"/>
      <c r="M14" s="78"/>
      <c r="N14" s="78"/>
      <c r="O14" s="78"/>
      <c r="P14" s="78"/>
      <c r="Q14" s="10">
        <f t="shared" si="1"/>
        <v>32</v>
      </c>
      <c r="R14" s="78">
        <v>8</v>
      </c>
      <c r="S14" s="78">
        <v>13</v>
      </c>
      <c r="T14" s="78">
        <v>0</v>
      </c>
      <c r="U14" s="78">
        <v>11</v>
      </c>
      <c r="V14" s="78"/>
      <c r="W14" s="78"/>
      <c r="X14" s="78"/>
      <c r="Y14" s="78"/>
      <c r="Z14" s="78"/>
      <c r="AA14" s="78"/>
      <c r="AB14" s="78"/>
      <c r="AC14" s="78"/>
      <c r="AD14" s="10">
        <f t="shared" si="2"/>
        <v>32</v>
      </c>
    </row>
    <row r="15" spans="1:30" s="68" customFormat="1" ht="13.5" thickBot="1">
      <c r="A15" s="1" t="s">
        <v>55</v>
      </c>
      <c r="B15" s="65" t="s">
        <v>82</v>
      </c>
      <c r="C15" s="85">
        <f>+D15/'Meta Corte Hosp'!L31</f>
        <v>1.0204081632653061</v>
      </c>
      <c r="D15" s="83">
        <f t="shared" si="0"/>
        <v>1</v>
      </c>
      <c r="E15" s="78">
        <v>7</v>
      </c>
      <c r="F15" s="78">
        <v>5</v>
      </c>
      <c r="G15" s="78">
        <v>20</v>
      </c>
      <c r="H15" s="78">
        <v>7</v>
      </c>
      <c r="I15" s="78"/>
      <c r="J15" s="78"/>
      <c r="K15" s="78"/>
      <c r="L15" s="78"/>
      <c r="M15" s="78"/>
      <c r="N15" s="78"/>
      <c r="O15" s="78"/>
      <c r="P15" s="78"/>
      <c r="Q15" s="10">
        <f t="shared" si="1"/>
        <v>39</v>
      </c>
      <c r="R15" s="78">
        <v>7</v>
      </c>
      <c r="S15" s="78">
        <v>5</v>
      </c>
      <c r="T15" s="78">
        <v>20</v>
      </c>
      <c r="U15" s="78">
        <v>7</v>
      </c>
      <c r="V15" s="78"/>
      <c r="W15" s="78"/>
      <c r="X15" s="78"/>
      <c r="Y15" s="78"/>
      <c r="Z15" s="78"/>
      <c r="AA15" s="78"/>
      <c r="AB15" s="78"/>
      <c r="AC15" s="78"/>
      <c r="AD15" s="10">
        <f t="shared" si="2"/>
        <v>39</v>
      </c>
    </row>
    <row r="16" spans="1:30" s="68" customFormat="1" ht="13.5" thickBot="1">
      <c r="A16" s="1" t="s">
        <v>56</v>
      </c>
      <c r="B16" s="65" t="s">
        <v>83</v>
      </c>
      <c r="C16" s="85">
        <f>+D16/'Meta Corte Hosp'!L32</f>
        <v>0.963718820861678</v>
      </c>
      <c r="D16" s="83">
        <f t="shared" si="0"/>
        <v>0.9444444444444444</v>
      </c>
      <c r="E16" s="78">
        <v>7</v>
      </c>
      <c r="F16" s="78">
        <v>3</v>
      </c>
      <c r="G16" s="78">
        <v>4</v>
      </c>
      <c r="H16" s="78">
        <v>3</v>
      </c>
      <c r="I16" s="78"/>
      <c r="J16" s="78"/>
      <c r="K16" s="78"/>
      <c r="L16" s="78"/>
      <c r="M16" s="78"/>
      <c r="N16" s="78"/>
      <c r="O16" s="78"/>
      <c r="P16" s="78"/>
      <c r="Q16" s="10">
        <f t="shared" si="1"/>
        <v>17</v>
      </c>
      <c r="R16" s="78">
        <v>7</v>
      </c>
      <c r="S16" s="78">
        <v>3</v>
      </c>
      <c r="T16" s="78">
        <v>4</v>
      </c>
      <c r="U16" s="78">
        <v>4</v>
      </c>
      <c r="V16" s="78"/>
      <c r="W16" s="78"/>
      <c r="X16" s="78"/>
      <c r="Y16" s="78"/>
      <c r="Z16" s="78"/>
      <c r="AA16" s="78"/>
      <c r="AB16" s="78"/>
      <c r="AC16" s="78"/>
      <c r="AD16" s="10">
        <f t="shared" si="2"/>
        <v>18</v>
      </c>
    </row>
    <row r="17" spans="1:30" s="68" customFormat="1" ht="15.75" customHeight="1" thickBot="1">
      <c r="A17" s="1" t="s">
        <v>57</v>
      </c>
      <c r="B17" s="65" t="s">
        <v>84</v>
      </c>
      <c r="C17" s="85">
        <f>+D17/'Meta Corte Hosp'!L33</f>
        <v>1.0204081632653061</v>
      </c>
      <c r="D17" s="84">
        <f t="shared" si="0"/>
        <v>1</v>
      </c>
      <c r="E17" s="78">
        <v>4</v>
      </c>
      <c r="F17" s="78">
        <v>3</v>
      </c>
      <c r="G17" s="78">
        <v>5</v>
      </c>
      <c r="H17" s="78">
        <v>3</v>
      </c>
      <c r="I17" s="78"/>
      <c r="J17" s="78"/>
      <c r="K17" s="78"/>
      <c r="L17" s="78"/>
      <c r="M17" s="78"/>
      <c r="N17" s="78"/>
      <c r="O17" s="78"/>
      <c r="P17" s="78"/>
      <c r="Q17" s="10">
        <f t="shared" si="1"/>
        <v>15</v>
      </c>
      <c r="R17" s="78">
        <v>4</v>
      </c>
      <c r="S17" s="78">
        <v>3</v>
      </c>
      <c r="T17" s="78">
        <v>5</v>
      </c>
      <c r="U17" s="78">
        <v>3</v>
      </c>
      <c r="V17" s="78"/>
      <c r="W17" s="78"/>
      <c r="X17" s="78"/>
      <c r="Y17" s="78"/>
      <c r="Z17" s="78"/>
      <c r="AA17" s="78"/>
      <c r="AB17" s="78"/>
      <c r="AC17" s="78"/>
      <c r="AD17" s="10">
        <f t="shared" si="2"/>
        <v>15</v>
      </c>
    </row>
    <row r="18" spans="1:30" s="68" customFormat="1" ht="12.75">
      <c r="A18" s="70"/>
      <c r="B18" s="69" t="s">
        <v>85</v>
      </c>
      <c r="C18" s="65"/>
      <c r="D18" s="94"/>
      <c r="E18" s="76">
        <f>SUM(E12:E17)</f>
        <v>38</v>
      </c>
      <c r="F18" s="76">
        <f aca="true" t="shared" si="3" ref="F18:AD18">SUM(F12:F17)</f>
        <v>36</v>
      </c>
      <c r="G18" s="76">
        <f t="shared" si="3"/>
        <v>45</v>
      </c>
      <c r="H18" s="76">
        <f t="shared" si="3"/>
        <v>44</v>
      </c>
      <c r="I18" s="76">
        <f t="shared" si="3"/>
        <v>0</v>
      </c>
      <c r="J18" s="76">
        <f t="shared" si="3"/>
        <v>0</v>
      </c>
      <c r="K18" s="76">
        <f t="shared" si="3"/>
        <v>0</v>
      </c>
      <c r="L18" s="76">
        <f t="shared" si="3"/>
        <v>0</v>
      </c>
      <c r="M18" s="76">
        <f t="shared" si="3"/>
        <v>0</v>
      </c>
      <c r="N18" s="76">
        <f t="shared" si="3"/>
        <v>0</v>
      </c>
      <c r="O18" s="76">
        <f t="shared" si="3"/>
        <v>0</v>
      </c>
      <c r="P18" s="76">
        <f t="shared" si="3"/>
        <v>0</v>
      </c>
      <c r="Q18" s="76">
        <f t="shared" si="3"/>
        <v>163</v>
      </c>
      <c r="R18" s="76">
        <f t="shared" si="3"/>
        <v>38</v>
      </c>
      <c r="S18" s="76">
        <f t="shared" si="3"/>
        <v>37</v>
      </c>
      <c r="T18" s="76">
        <f t="shared" si="3"/>
        <v>45</v>
      </c>
      <c r="U18" s="76">
        <f t="shared" si="3"/>
        <v>45</v>
      </c>
      <c r="V18" s="76">
        <f t="shared" si="3"/>
        <v>0</v>
      </c>
      <c r="W18" s="76">
        <f t="shared" si="3"/>
        <v>0</v>
      </c>
      <c r="X18" s="76">
        <f t="shared" si="3"/>
        <v>0</v>
      </c>
      <c r="Y18" s="76">
        <f t="shared" si="3"/>
        <v>0</v>
      </c>
      <c r="Z18" s="76">
        <f t="shared" si="3"/>
        <v>0</v>
      </c>
      <c r="AA18" s="76">
        <f t="shared" si="3"/>
        <v>0</v>
      </c>
      <c r="AB18" s="76">
        <f t="shared" si="3"/>
        <v>0</v>
      </c>
      <c r="AC18" s="76">
        <f t="shared" si="3"/>
        <v>0</v>
      </c>
      <c r="AD18" s="76">
        <f t="shared" si="3"/>
        <v>165</v>
      </c>
    </row>
  </sheetData>
  <sheetProtection/>
  <mergeCells count="9">
    <mergeCell ref="A1:A10"/>
    <mergeCell ref="B1:B10"/>
    <mergeCell ref="C1:C11"/>
    <mergeCell ref="E1:AD1"/>
    <mergeCell ref="E2:Q9"/>
    <mergeCell ref="R2:AD9"/>
    <mergeCell ref="E10:Q10"/>
    <mergeCell ref="R10:AD10"/>
    <mergeCell ref="D1:D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38"/>
  <sheetViews>
    <sheetView zoomScalePageLayoutView="0" workbookViewId="0" topLeftCell="A1">
      <pane xSplit="2" ySplit="11" topLeftCell="AB12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AL12" sqref="AL12:AM17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4.140625" style="0" customWidth="1"/>
    <col min="5" max="7" width="9.57421875" style="21" customWidth="1"/>
    <col min="8" max="8" width="9.57421875" style="16" customWidth="1"/>
    <col min="9" max="10" width="9.57421875" style="21" customWidth="1"/>
    <col min="11" max="11" width="9.7109375" style="21" bestFit="1" customWidth="1"/>
    <col min="12" max="12" width="8.421875" style="21" bestFit="1" customWidth="1"/>
    <col min="13" max="13" width="6.00390625" style="21" bestFit="1" customWidth="1"/>
    <col min="14" max="15" width="5.57421875" style="21" bestFit="1" customWidth="1"/>
    <col min="16" max="22" width="6.7109375" style="21" bestFit="1" customWidth="1"/>
    <col min="23" max="23" width="7.28125" style="21" customWidth="1"/>
    <col min="24" max="24" width="9.7109375" style="21" bestFit="1" customWidth="1"/>
    <col min="25" max="25" width="8.421875" style="21" bestFit="1" customWidth="1"/>
    <col min="26" max="26" width="6.00390625" style="21" bestFit="1" customWidth="1"/>
    <col min="27" max="28" width="5.57421875" style="21" bestFit="1" customWidth="1"/>
    <col min="29" max="35" width="6.7109375" style="21" bestFit="1" customWidth="1"/>
    <col min="36" max="36" width="8.00390625" style="21" customWidth="1"/>
    <col min="37" max="37" width="13.140625" style="21" customWidth="1"/>
    <col min="38" max="39" width="16.8515625" style="21" bestFit="1" customWidth="1"/>
    <col min="40" max="43" width="11.421875" style="21" customWidth="1"/>
  </cols>
  <sheetData>
    <row r="1" spans="1:39" ht="73.5" customHeight="1" thickBot="1" thickTop="1">
      <c r="A1" s="173" t="s">
        <v>0</v>
      </c>
      <c r="B1" s="167" t="s">
        <v>1</v>
      </c>
      <c r="C1" s="167" t="s">
        <v>63</v>
      </c>
      <c r="D1" s="190" t="s">
        <v>60</v>
      </c>
      <c r="E1" s="228" t="s">
        <v>41</v>
      </c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30"/>
    </row>
    <row r="2" spans="1:39" ht="15" customHeight="1" thickTop="1">
      <c r="A2" s="174"/>
      <c r="B2" s="177"/>
      <c r="C2" s="168"/>
      <c r="D2" s="191"/>
      <c r="E2" s="231" t="s">
        <v>3</v>
      </c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3"/>
      <c r="AK2" s="216" t="s">
        <v>4</v>
      </c>
      <c r="AL2" s="207"/>
      <c r="AM2" s="207"/>
    </row>
    <row r="3" spans="1:39" ht="15" customHeight="1">
      <c r="A3" s="174"/>
      <c r="B3" s="177"/>
      <c r="C3" s="168"/>
      <c r="D3" s="191"/>
      <c r="E3" s="216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34"/>
      <c r="AK3" s="216"/>
      <c r="AL3" s="207"/>
      <c r="AM3" s="207"/>
    </row>
    <row r="4" spans="1:39" ht="15" customHeight="1">
      <c r="A4" s="174"/>
      <c r="B4" s="177"/>
      <c r="C4" s="168"/>
      <c r="D4" s="191"/>
      <c r="E4" s="216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34"/>
      <c r="AK4" s="216"/>
      <c r="AL4" s="207"/>
      <c r="AM4" s="207"/>
    </row>
    <row r="5" spans="1:39" ht="15" customHeight="1">
      <c r="A5" s="174"/>
      <c r="B5" s="177"/>
      <c r="C5" s="168"/>
      <c r="D5" s="191"/>
      <c r="E5" s="216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34"/>
      <c r="AK5" s="216"/>
      <c r="AL5" s="207"/>
      <c r="AM5" s="207"/>
    </row>
    <row r="6" spans="1:39" ht="15" customHeight="1">
      <c r="A6" s="174"/>
      <c r="B6" s="177"/>
      <c r="C6" s="168"/>
      <c r="D6" s="191"/>
      <c r="E6" s="216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34"/>
      <c r="AK6" s="216"/>
      <c r="AL6" s="207"/>
      <c r="AM6" s="207"/>
    </row>
    <row r="7" spans="1:39" ht="15" customHeight="1">
      <c r="A7" s="174"/>
      <c r="B7" s="177"/>
      <c r="C7" s="168"/>
      <c r="D7" s="191"/>
      <c r="E7" s="216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34"/>
      <c r="AK7" s="216"/>
      <c r="AL7" s="207"/>
      <c r="AM7" s="207"/>
    </row>
    <row r="8" spans="1:39" ht="15" customHeight="1">
      <c r="A8" s="174"/>
      <c r="B8" s="177"/>
      <c r="C8" s="168"/>
      <c r="D8" s="191"/>
      <c r="E8" s="216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34"/>
      <c r="AK8" s="216"/>
      <c r="AL8" s="207"/>
      <c r="AM8" s="207"/>
    </row>
    <row r="9" spans="1:39" ht="15.75" customHeight="1" thickBot="1">
      <c r="A9" s="174"/>
      <c r="B9" s="177"/>
      <c r="C9" s="168"/>
      <c r="D9" s="191"/>
      <c r="E9" s="217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35"/>
      <c r="AK9" s="217"/>
      <c r="AL9" s="218"/>
      <c r="AM9" s="218"/>
    </row>
    <row r="10" spans="1:39" ht="75" customHeight="1" thickBot="1" thickTop="1">
      <c r="A10" s="175"/>
      <c r="B10" s="169"/>
      <c r="C10" s="168"/>
      <c r="D10" s="192"/>
      <c r="E10" s="221" t="s">
        <v>42</v>
      </c>
      <c r="F10" s="222"/>
      <c r="G10" s="222"/>
      <c r="H10" s="222"/>
      <c r="I10" s="222"/>
      <c r="J10" s="222"/>
      <c r="K10" s="221" t="s">
        <v>43</v>
      </c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3"/>
      <c r="X10" s="213" t="s">
        <v>44</v>
      </c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24" t="s">
        <v>58</v>
      </c>
      <c r="AL10" s="226" t="s">
        <v>127</v>
      </c>
      <c r="AM10" s="219" t="s">
        <v>128</v>
      </c>
    </row>
    <row r="11" spans="1:39" ht="15.75" thickBot="1">
      <c r="A11" s="104"/>
      <c r="B11" s="104"/>
      <c r="C11" s="169"/>
      <c r="D11" s="104" t="s">
        <v>61</v>
      </c>
      <c r="E11" s="105" t="s">
        <v>134</v>
      </c>
      <c r="F11" s="106" t="s">
        <v>75</v>
      </c>
      <c r="G11" s="105" t="s">
        <v>20</v>
      </c>
      <c r="H11" s="106" t="s">
        <v>23</v>
      </c>
      <c r="I11" s="106" t="s">
        <v>25</v>
      </c>
      <c r="J11" s="106" t="s">
        <v>24</v>
      </c>
      <c r="K11" s="105" t="s">
        <v>7</v>
      </c>
      <c r="L11" s="105" t="s">
        <v>8</v>
      </c>
      <c r="M11" s="105" t="s">
        <v>9</v>
      </c>
      <c r="N11" s="105" t="s">
        <v>10</v>
      </c>
      <c r="O11" s="105" t="s">
        <v>11</v>
      </c>
      <c r="P11" s="105" t="s">
        <v>12</v>
      </c>
      <c r="Q11" s="105" t="s">
        <v>13</v>
      </c>
      <c r="R11" s="105" t="s">
        <v>14</v>
      </c>
      <c r="S11" s="105" t="s">
        <v>15</v>
      </c>
      <c r="T11" s="105" t="s">
        <v>16</v>
      </c>
      <c r="U11" s="105" t="s">
        <v>17</v>
      </c>
      <c r="V11" s="105" t="s">
        <v>18</v>
      </c>
      <c r="W11" s="105" t="s">
        <v>19</v>
      </c>
      <c r="X11" s="105" t="s">
        <v>7</v>
      </c>
      <c r="Y11" s="105" t="s">
        <v>8</v>
      </c>
      <c r="Z11" s="105" t="s">
        <v>9</v>
      </c>
      <c r="AA11" s="105" t="s">
        <v>10</v>
      </c>
      <c r="AB11" s="105" t="s">
        <v>11</v>
      </c>
      <c r="AC11" s="105" t="s">
        <v>12</v>
      </c>
      <c r="AD11" s="105" t="s">
        <v>13</v>
      </c>
      <c r="AE11" s="105" t="s">
        <v>14</v>
      </c>
      <c r="AF11" s="105" t="s">
        <v>15</v>
      </c>
      <c r="AG11" s="105" t="s">
        <v>16</v>
      </c>
      <c r="AH11" s="105" t="s">
        <v>17</v>
      </c>
      <c r="AI11" s="105" t="s">
        <v>18</v>
      </c>
      <c r="AJ11" s="106" t="s">
        <v>19</v>
      </c>
      <c r="AK11" s="225"/>
      <c r="AL11" s="227"/>
      <c r="AM11" s="220"/>
    </row>
    <row r="12" spans="1:44" s="68" customFormat="1" ht="13.5" thickBot="1">
      <c r="A12" s="1" t="s">
        <v>78</v>
      </c>
      <c r="B12" s="65" t="s">
        <v>79</v>
      </c>
      <c r="C12" s="85">
        <f>+D12/'Meta Corte Hosp'!M28</f>
        <v>1.0200578686675492</v>
      </c>
      <c r="D12" s="86">
        <f>+G12/AK12</f>
        <v>0.5712324064538277</v>
      </c>
      <c r="E12" s="10">
        <v>408</v>
      </c>
      <c r="F12" s="17">
        <f aca="true" t="shared" si="0" ref="F12:F17">+E12+(K12+L12+M12)-(X12+Y12+Z12)</f>
        <v>415</v>
      </c>
      <c r="G12" s="10">
        <f>+E12+(K12+L12+M12+N12+O12)-(X12+Y12+Z12+AA12+AB12)</f>
        <v>416</v>
      </c>
      <c r="H12" s="91"/>
      <c r="I12" s="91"/>
      <c r="J12" s="96"/>
      <c r="K12" s="19">
        <v>1</v>
      </c>
      <c r="L12" s="19">
        <v>10</v>
      </c>
      <c r="M12" s="19"/>
      <c r="N12" s="19">
        <v>3</v>
      </c>
      <c r="O12" s="19"/>
      <c r="P12" s="19"/>
      <c r="Q12" s="19"/>
      <c r="R12" s="19"/>
      <c r="S12" s="19"/>
      <c r="T12" s="20"/>
      <c r="U12" s="19"/>
      <c r="V12" s="19"/>
      <c r="W12" s="10">
        <f aca="true" t="shared" si="1" ref="W12:W17">SUM(K12:V12)</f>
        <v>14</v>
      </c>
      <c r="X12" s="19">
        <v>2</v>
      </c>
      <c r="Y12" s="19">
        <v>2</v>
      </c>
      <c r="Z12" s="19"/>
      <c r="AA12" s="19">
        <v>2</v>
      </c>
      <c r="AB12" s="19"/>
      <c r="AC12" s="19"/>
      <c r="AD12" s="19"/>
      <c r="AE12" s="19"/>
      <c r="AF12" s="19"/>
      <c r="AG12" s="19"/>
      <c r="AH12" s="19"/>
      <c r="AI12" s="19"/>
      <c r="AJ12" s="10">
        <f aca="true" t="shared" si="2" ref="AJ12:AJ17">SUM(X12:AI12)</f>
        <v>6</v>
      </c>
      <c r="AK12" s="10">
        <f aca="true" t="shared" si="3" ref="AK12:AK17">+AL12+AM12</f>
        <v>728.25</v>
      </c>
      <c r="AL12" s="10">
        <f>4400*0.1</f>
        <v>440</v>
      </c>
      <c r="AM12" s="10">
        <f>1153*0.25</f>
        <v>288.25</v>
      </c>
      <c r="AN12" s="77"/>
      <c r="AO12" s="77"/>
      <c r="AP12" s="77"/>
      <c r="AQ12" s="77"/>
      <c r="AR12" s="75"/>
    </row>
    <row r="13" spans="1:44" s="68" customFormat="1" ht="13.5" thickBot="1">
      <c r="A13" s="1" t="s">
        <v>53</v>
      </c>
      <c r="B13" s="65" t="s">
        <v>80</v>
      </c>
      <c r="C13" s="85">
        <f>+D13/'Meta Corte Hosp'!M29</f>
        <v>1.020307886877422</v>
      </c>
      <c r="D13" s="86">
        <f>+G13/AK13</f>
        <v>0.5611693377825822</v>
      </c>
      <c r="E13" s="10">
        <v>572</v>
      </c>
      <c r="F13" s="17">
        <f t="shared" si="0"/>
        <v>594</v>
      </c>
      <c r="G13" s="10">
        <f>+E13+(K13+L13+M13+N13+O13)-(X13+Y13+Z13+AA13+AB13)</f>
        <v>597</v>
      </c>
      <c r="H13" s="91"/>
      <c r="I13" s="91"/>
      <c r="J13" s="96"/>
      <c r="K13" s="19">
        <v>6</v>
      </c>
      <c r="L13" s="19">
        <v>11</v>
      </c>
      <c r="M13" s="19">
        <v>6</v>
      </c>
      <c r="N13" s="19">
        <v>4</v>
      </c>
      <c r="O13" s="19"/>
      <c r="P13" s="19"/>
      <c r="Q13" s="19"/>
      <c r="R13" s="19"/>
      <c r="S13" s="19"/>
      <c r="T13" s="20"/>
      <c r="U13" s="19"/>
      <c r="V13" s="19"/>
      <c r="W13" s="10">
        <f t="shared" si="1"/>
        <v>27</v>
      </c>
      <c r="X13" s="19"/>
      <c r="Y13" s="19">
        <v>1</v>
      </c>
      <c r="Z13" s="19"/>
      <c r="AA13" s="19">
        <v>1</v>
      </c>
      <c r="AB13" s="19"/>
      <c r="AC13" s="19"/>
      <c r="AD13" s="19"/>
      <c r="AE13" s="19"/>
      <c r="AF13" s="19"/>
      <c r="AG13" s="19"/>
      <c r="AH13" s="19"/>
      <c r="AI13" s="19"/>
      <c r="AJ13" s="10">
        <f t="shared" si="2"/>
        <v>2</v>
      </c>
      <c r="AK13" s="10">
        <f t="shared" si="3"/>
        <v>1063.85</v>
      </c>
      <c r="AL13" s="10">
        <f>7366*0.1</f>
        <v>736.6</v>
      </c>
      <c r="AM13" s="10">
        <f>1309*0.25</f>
        <v>327.25</v>
      </c>
      <c r="AN13" s="77"/>
      <c r="AO13" s="77"/>
      <c r="AP13" s="77"/>
      <c r="AQ13" s="77"/>
      <c r="AR13" s="75"/>
    </row>
    <row r="14" spans="1:44" s="68" customFormat="1" ht="13.5" thickBot="1">
      <c r="A14" s="1" t="s">
        <v>54</v>
      </c>
      <c r="B14" s="65" t="s">
        <v>81</v>
      </c>
      <c r="C14" s="85">
        <f>+D14/'Meta Corte Hosp'!M30</f>
        <v>0.818723261471353</v>
      </c>
      <c r="D14" s="86">
        <f>+G14/AK14</f>
        <v>0.4093616307356765</v>
      </c>
      <c r="E14" s="10">
        <v>718</v>
      </c>
      <c r="F14" s="17">
        <f t="shared" si="0"/>
        <v>723</v>
      </c>
      <c r="G14" s="10">
        <f>+E14+(K14+L14+M14+N14+O14)-(X14+Y14+Z14+AA14+AB14)</f>
        <v>732</v>
      </c>
      <c r="H14" s="91"/>
      <c r="I14" s="91"/>
      <c r="J14" s="96"/>
      <c r="K14" s="19">
        <v>5</v>
      </c>
      <c r="L14" s="19">
        <v>9</v>
      </c>
      <c r="M14" s="19">
        <v>6</v>
      </c>
      <c r="N14" s="19">
        <v>9</v>
      </c>
      <c r="O14" s="19"/>
      <c r="P14" s="19"/>
      <c r="Q14" s="19"/>
      <c r="R14" s="19"/>
      <c r="S14" s="19"/>
      <c r="T14" s="20"/>
      <c r="U14" s="19"/>
      <c r="V14" s="19"/>
      <c r="W14" s="10">
        <f t="shared" si="1"/>
        <v>29</v>
      </c>
      <c r="X14" s="19">
        <v>2</v>
      </c>
      <c r="Y14" s="19">
        <v>4</v>
      </c>
      <c r="Z14" s="19">
        <v>9</v>
      </c>
      <c r="AA14" s="19"/>
      <c r="AB14" s="19"/>
      <c r="AC14" s="19"/>
      <c r="AD14" s="19"/>
      <c r="AE14" s="19"/>
      <c r="AF14" s="19"/>
      <c r="AG14" s="19"/>
      <c r="AH14" s="19"/>
      <c r="AI14" s="19"/>
      <c r="AJ14" s="10">
        <f t="shared" si="2"/>
        <v>15</v>
      </c>
      <c r="AK14" s="10">
        <f t="shared" si="3"/>
        <v>1788.15</v>
      </c>
      <c r="AL14" s="10">
        <f>11674*0.1</f>
        <v>1167.4</v>
      </c>
      <c r="AM14" s="10">
        <f>2483*0.25</f>
        <v>620.75</v>
      </c>
      <c r="AN14" s="77"/>
      <c r="AO14" s="77"/>
      <c r="AP14" s="77"/>
      <c r="AQ14" s="77"/>
      <c r="AR14" s="75"/>
    </row>
    <row r="15" spans="1:44" s="68" customFormat="1" ht="13.5" thickBot="1">
      <c r="A15" s="1" t="s">
        <v>55</v>
      </c>
      <c r="B15" s="65" t="s">
        <v>82</v>
      </c>
      <c r="C15" s="85">
        <f>+D15/'Meta Corte Hosp'!M31</f>
        <v>1.0031856889052257</v>
      </c>
      <c r="D15" s="86">
        <f>+G15/AK15</f>
        <v>0.8025485511241807</v>
      </c>
      <c r="E15" s="10">
        <v>654</v>
      </c>
      <c r="F15" s="17">
        <f t="shared" si="0"/>
        <v>654</v>
      </c>
      <c r="G15" s="10">
        <f>+E15+(K15+L15+M15+N15+O15)-(X15+Y15+Z15+AA15+AB15)</f>
        <v>655</v>
      </c>
      <c r="H15" s="91"/>
      <c r="I15" s="91"/>
      <c r="J15" s="96"/>
      <c r="K15" s="19">
        <v>4</v>
      </c>
      <c r="L15" s="19">
        <v>6</v>
      </c>
      <c r="M15" s="19">
        <v>2</v>
      </c>
      <c r="N15" s="19">
        <v>2</v>
      </c>
      <c r="O15" s="19"/>
      <c r="P15" s="19"/>
      <c r="Q15" s="19"/>
      <c r="R15" s="19"/>
      <c r="S15" s="19"/>
      <c r="T15" s="20"/>
      <c r="U15" s="19"/>
      <c r="V15" s="19"/>
      <c r="W15" s="10">
        <f t="shared" si="1"/>
        <v>14</v>
      </c>
      <c r="X15" s="19">
        <v>6</v>
      </c>
      <c r="Y15" s="19">
        <v>5</v>
      </c>
      <c r="Z15" s="19">
        <v>1</v>
      </c>
      <c r="AA15" s="19">
        <v>1</v>
      </c>
      <c r="AB15" s="19"/>
      <c r="AC15" s="19"/>
      <c r="AD15" s="19"/>
      <c r="AE15" s="19"/>
      <c r="AF15" s="19"/>
      <c r="AG15" s="19"/>
      <c r="AH15" s="19"/>
      <c r="AI15" s="19"/>
      <c r="AJ15" s="10">
        <f t="shared" si="2"/>
        <v>13</v>
      </c>
      <c r="AK15" s="10">
        <f t="shared" si="3"/>
        <v>816.15</v>
      </c>
      <c r="AL15" s="10">
        <f>5769*0.1</f>
        <v>576.9</v>
      </c>
      <c r="AM15" s="10">
        <f>957*0.25</f>
        <v>239.25</v>
      </c>
      <c r="AN15" s="77"/>
      <c r="AO15" s="77"/>
      <c r="AP15" s="77"/>
      <c r="AQ15" s="77"/>
      <c r="AR15" s="75"/>
    </row>
    <row r="16" spans="1:44" s="68" customFormat="1" ht="13.5" thickBot="1">
      <c r="A16" s="1" t="s">
        <v>56</v>
      </c>
      <c r="B16" s="65" t="s">
        <v>83</v>
      </c>
      <c r="C16" s="85">
        <f>+D16/'Meta Corte Hosp'!M32</f>
        <v>1.0287227113230937</v>
      </c>
      <c r="D16" s="86">
        <f>+G16/AK16</f>
        <v>0.668669762360011</v>
      </c>
      <c r="E16" s="10">
        <v>598</v>
      </c>
      <c r="F16" s="17">
        <f t="shared" si="0"/>
        <v>607</v>
      </c>
      <c r="G16" s="10">
        <f>+E16+(K16+L16+M16+N16+O16)-(X16+Y16+Z16+AA16+AB16)</f>
        <v>612</v>
      </c>
      <c r="H16" s="91"/>
      <c r="I16" s="91"/>
      <c r="J16" s="96"/>
      <c r="K16" s="19">
        <v>13</v>
      </c>
      <c r="L16" s="19">
        <v>4</v>
      </c>
      <c r="M16" s="19">
        <v>6</v>
      </c>
      <c r="N16" s="19">
        <v>8</v>
      </c>
      <c r="O16" s="19"/>
      <c r="P16" s="19"/>
      <c r="Q16" s="19"/>
      <c r="R16" s="19"/>
      <c r="S16" s="19"/>
      <c r="T16" s="20"/>
      <c r="U16" s="19"/>
      <c r="V16" s="19"/>
      <c r="W16" s="10">
        <f t="shared" si="1"/>
        <v>31</v>
      </c>
      <c r="X16" s="19"/>
      <c r="Y16" s="19">
        <v>10</v>
      </c>
      <c r="Z16" s="19">
        <v>4</v>
      </c>
      <c r="AA16" s="19">
        <v>3</v>
      </c>
      <c r="AB16" s="19"/>
      <c r="AC16" s="19"/>
      <c r="AD16" s="19"/>
      <c r="AE16" s="19"/>
      <c r="AF16" s="19"/>
      <c r="AG16" s="19"/>
      <c r="AH16" s="19"/>
      <c r="AI16" s="19"/>
      <c r="AJ16" s="10">
        <f t="shared" si="2"/>
        <v>17</v>
      </c>
      <c r="AK16" s="10">
        <f t="shared" si="3"/>
        <v>915.25</v>
      </c>
      <c r="AL16" s="10">
        <f>6410*0.1</f>
        <v>641</v>
      </c>
      <c r="AM16" s="10">
        <f>1097*0.25</f>
        <v>274.25</v>
      </c>
      <c r="AN16" s="77"/>
      <c r="AO16" s="77"/>
      <c r="AP16" s="77"/>
      <c r="AQ16" s="77"/>
      <c r="AR16" s="75"/>
    </row>
    <row r="17" spans="1:44" s="68" customFormat="1" ht="15.75" customHeight="1" thickBot="1">
      <c r="A17" s="1" t="s">
        <v>57</v>
      </c>
      <c r="B17" s="65" t="s">
        <v>84</v>
      </c>
      <c r="C17" s="85">
        <f>+D17/'Meta Corte Hosp'!M33</f>
        <v>1.016392245628126</v>
      </c>
      <c r="D17" s="86">
        <f>+G17/AK17</f>
        <v>0.6606549596582819</v>
      </c>
      <c r="E17" s="10">
        <v>342</v>
      </c>
      <c r="F17" s="17">
        <f t="shared" si="0"/>
        <v>343</v>
      </c>
      <c r="G17" s="10">
        <f>+E17+(K17+L17+M17+N17+O17)-(X17+Y17+Z17+AA17+AB17)</f>
        <v>348</v>
      </c>
      <c r="H17" s="91"/>
      <c r="I17" s="91"/>
      <c r="J17" s="96"/>
      <c r="K17" s="19"/>
      <c r="L17" s="19">
        <v>1</v>
      </c>
      <c r="M17" s="19">
        <v>4</v>
      </c>
      <c r="N17" s="19">
        <v>5</v>
      </c>
      <c r="O17" s="19"/>
      <c r="P17" s="19"/>
      <c r="Q17" s="19"/>
      <c r="R17" s="19"/>
      <c r="S17" s="19"/>
      <c r="T17" s="20"/>
      <c r="U17" s="19"/>
      <c r="V17" s="19"/>
      <c r="W17" s="10">
        <f t="shared" si="1"/>
        <v>10</v>
      </c>
      <c r="X17" s="19">
        <v>2</v>
      </c>
      <c r="Y17" s="19"/>
      <c r="Z17" s="19">
        <v>2</v>
      </c>
      <c r="AA17" s="19"/>
      <c r="AB17" s="19"/>
      <c r="AC17" s="19"/>
      <c r="AD17" s="19"/>
      <c r="AE17" s="19"/>
      <c r="AF17" s="19"/>
      <c r="AG17" s="19"/>
      <c r="AH17" s="19"/>
      <c r="AI17" s="19"/>
      <c r="AJ17" s="10">
        <f t="shared" si="2"/>
        <v>4</v>
      </c>
      <c r="AK17" s="10">
        <f t="shared" si="3"/>
        <v>526.75</v>
      </c>
      <c r="AL17" s="10">
        <f>3060*0.1</f>
        <v>306</v>
      </c>
      <c r="AM17" s="10">
        <f>883*0.25</f>
        <v>220.75</v>
      </c>
      <c r="AN17" s="77"/>
      <c r="AO17" s="77"/>
      <c r="AP17" s="77"/>
      <c r="AQ17" s="77"/>
      <c r="AR17" s="75"/>
    </row>
    <row r="18" spans="1:43" s="67" customFormat="1" ht="13.5" thickBot="1">
      <c r="A18" s="73"/>
      <c r="B18" s="69" t="s">
        <v>85</v>
      </c>
      <c r="C18" s="79"/>
      <c r="D18" s="95"/>
      <c r="E18" s="22">
        <f>SUM(E12:E17)</f>
        <v>3292</v>
      </c>
      <c r="F18" s="22">
        <f>SUM(F12:F17)</f>
        <v>3336</v>
      </c>
      <c r="G18" s="22">
        <f aca="true" t="shared" si="4" ref="G18:AM18">SUM(G12:G17)</f>
        <v>3360</v>
      </c>
      <c r="H18" s="22">
        <f t="shared" si="4"/>
        <v>0</v>
      </c>
      <c r="I18" s="22">
        <f>SUM(I12:I17)</f>
        <v>0</v>
      </c>
      <c r="J18" s="22">
        <f>SUM(J12:J17)</f>
        <v>0</v>
      </c>
      <c r="K18" s="22">
        <f t="shared" si="4"/>
        <v>29</v>
      </c>
      <c r="L18" s="22">
        <f t="shared" si="4"/>
        <v>41</v>
      </c>
      <c r="M18" s="22">
        <f t="shared" si="4"/>
        <v>24</v>
      </c>
      <c r="N18" s="22">
        <f t="shared" si="4"/>
        <v>31</v>
      </c>
      <c r="O18" s="22">
        <f t="shared" si="4"/>
        <v>0</v>
      </c>
      <c r="P18" s="22">
        <f t="shared" si="4"/>
        <v>0</v>
      </c>
      <c r="Q18" s="22">
        <f t="shared" si="4"/>
        <v>0</v>
      </c>
      <c r="R18" s="22">
        <f t="shared" si="4"/>
        <v>0</v>
      </c>
      <c r="S18" s="22">
        <f t="shared" si="4"/>
        <v>0</v>
      </c>
      <c r="T18" s="22">
        <f t="shared" si="4"/>
        <v>0</v>
      </c>
      <c r="U18" s="22">
        <f t="shared" si="4"/>
        <v>0</v>
      </c>
      <c r="V18" s="22">
        <f t="shared" si="4"/>
        <v>0</v>
      </c>
      <c r="W18" s="22">
        <f t="shared" si="4"/>
        <v>125</v>
      </c>
      <c r="X18" s="22">
        <f t="shared" si="4"/>
        <v>12</v>
      </c>
      <c r="Y18" s="22">
        <f t="shared" si="4"/>
        <v>22</v>
      </c>
      <c r="Z18" s="22">
        <f t="shared" si="4"/>
        <v>16</v>
      </c>
      <c r="AA18" s="22">
        <f t="shared" si="4"/>
        <v>7</v>
      </c>
      <c r="AB18" s="22">
        <f t="shared" si="4"/>
        <v>0</v>
      </c>
      <c r="AC18" s="22">
        <f t="shared" si="4"/>
        <v>0</v>
      </c>
      <c r="AD18" s="22">
        <f t="shared" si="4"/>
        <v>0</v>
      </c>
      <c r="AE18" s="22">
        <f t="shared" si="4"/>
        <v>0</v>
      </c>
      <c r="AF18" s="22">
        <f t="shared" si="4"/>
        <v>0</v>
      </c>
      <c r="AG18" s="22">
        <f t="shared" si="4"/>
        <v>0</v>
      </c>
      <c r="AH18" s="22">
        <f t="shared" si="4"/>
        <v>0</v>
      </c>
      <c r="AI18" s="22">
        <f t="shared" si="4"/>
        <v>0</v>
      </c>
      <c r="AJ18" s="22">
        <f t="shared" si="4"/>
        <v>57</v>
      </c>
      <c r="AK18" s="22">
        <f t="shared" si="4"/>
        <v>5838.4</v>
      </c>
      <c r="AL18" s="22">
        <f t="shared" si="4"/>
        <v>3867.9</v>
      </c>
      <c r="AM18" s="22">
        <f t="shared" si="4"/>
        <v>1970.5</v>
      </c>
      <c r="AN18" s="80"/>
      <c r="AO18" s="80"/>
      <c r="AP18" s="80"/>
      <c r="AQ18" s="80"/>
    </row>
    <row r="32" spans="4:5" ht="15">
      <c r="D32" s="21"/>
      <c r="E32"/>
    </row>
    <row r="33" spans="4:5" ht="15">
      <c r="D33" s="21"/>
      <c r="E33"/>
    </row>
    <row r="34" spans="4:5" ht="15">
      <c r="D34" s="21"/>
      <c r="E34"/>
    </row>
    <row r="35" spans="4:5" ht="15">
      <c r="D35" s="21"/>
      <c r="E35"/>
    </row>
    <row r="36" spans="4:5" ht="15">
      <c r="D36" s="21"/>
      <c r="E36"/>
    </row>
    <row r="37" spans="4:5" ht="15">
      <c r="D37" s="21"/>
      <c r="E37"/>
    </row>
    <row r="38" spans="4:5" ht="15">
      <c r="D38" s="21"/>
      <c r="E38"/>
    </row>
  </sheetData>
  <sheetProtection/>
  <mergeCells count="13">
    <mergeCell ref="A1:A10"/>
    <mergeCell ref="B1:B10"/>
    <mergeCell ref="D1:D10"/>
    <mergeCell ref="C1:C11"/>
    <mergeCell ref="E10:J10"/>
    <mergeCell ref="E1:AM1"/>
    <mergeCell ref="E2:AJ9"/>
    <mergeCell ref="AK2:AM9"/>
    <mergeCell ref="AM10:AM11"/>
    <mergeCell ref="K10:W10"/>
    <mergeCell ref="X10:AJ10"/>
    <mergeCell ref="AK10:AK11"/>
    <mergeCell ref="AL10:AL1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18"/>
  <sheetViews>
    <sheetView zoomScalePageLayoutView="0" workbookViewId="0" topLeftCell="A1">
      <pane xSplit="2" ySplit="11" topLeftCell="C12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0.57421875" style="0" bestFit="1" customWidth="1"/>
    <col min="5" max="6" width="9.57421875" style="21" customWidth="1"/>
    <col min="7" max="7" width="10.8515625" style="16" customWidth="1"/>
    <col min="8" max="8" width="9.28125" style="21" customWidth="1"/>
    <col min="9" max="9" width="9.421875" style="21" customWidth="1"/>
    <col min="10" max="10" width="9.00390625" style="21" bestFit="1" customWidth="1"/>
    <col min="11" max="12" width="9.7109375" style="21" bestFit="1" customWidth="1"/>
    <col min="13" max="13" width="6.00390625" style="21" bestFit="1" customWidth="1"/>
    <col min="14" max="15" width="5.57421875" style="21" bestFit="1" customWidth="1"/>
    <col min="16" max="17" width="6.7109375" style="21" bestFit="1" customWidth="1"/>
    <col min="18" max="18" width="6.28125" style="21" customWidth="1"/>
    <col min="19" max="22" width="6.7109375" style="21" bestFit="1" customWidth="1"/>
    <col min="23" max="23" width="8.00390625" style="21" customWidth="1"/>
    <col min="24" max="24" width="9.7109375" style="21" bestFit="1" customWidth="1"/>
    <col min="25" max="25" width="8.421875" style="21" bestFit="1" customWidth="1"/>
    <col min="26" max="26" width="6.00390625" style="21" bestFit="1" customWidth="1"/>
    <col min="27" max="28" width="5.57421875" style="21" bestFit="1" customWidth="1"/>
    <col min="29" max="35" width="6.7109375" style="21" bestFit="1" customWidth="1"/>
    <col min="36" max="36" width="7.28125" style="21" customWidth="1"/>
    <col min="37" max="37" width="12.8515625" style="21" customWidth="1"/>
    <col min="38" max="39" width="16.8515625" style="21" bestFit="1" customWidth="1"/>
  </cols>
  <sheetData>
    <row r="1" spans="1:39" ht="73.5" customHeight="1" thickBot="1" thickTop="1">
      <c r="A1" s="173" t="s">
        <v>0</v>
      </c>
      <c r="B1" s="167" t="s">
        <v>1</v>
      </c>
      <c r="C1" s="167" t="s">
        <v>63</v>
      </c>
      <c r="D1" s="190" t="s">
        <v>60</v>
      </c>
      <c r="E1" s="228" t="s">
        <v>45</v>
      </c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30"/>
    </row>
    <row r="2" spans="1:39" ht="15" customHeight="1" thickTop="1">
      <c r="A2" s="174"/>
      <c r="B2" s="177"/>
      <c r="C2" s="168"/>
      <c r="D2" s="191"/>
      <c r="E2" s="231" t="s">
        <v>3</v>
      </c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3"/>
      <c r="AK2" s="207" t="s">
        <v>4</v>
      </c>
      <c r="AL2" s="207"/>
      <c r="AM2" s="211"/>
    </row>
    <row r="3" spans="1:39" ht="15" customHeight="1">
      <c r="A3" s="174"/>
      <c r="B3" s="177"/>
      <c r="C3" s="168"/>
      <c r="D3" s="191"/>
      <c r="E3" s="216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34"/>
      <c r="AK3" s="207"/>
      <c r="AL3" s="207"/>
      <c r="AM3" s="211"/>
    </row>
    <row r="4" spans="1:39" ht="15" customHeight="1">
      <c r="A4" s="174"/>
      <c r="B4" s="177"/>
      <c r="C4" s="168"/>
      <c r="D4" s="191"/>
      <c r="E4" s="216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34"/>
      <c r="AK4" s="207"/>
      <c r="AL4" s="207"/>
      <c r="AM4" s="211"/>
    </row>
    <row r="5" spans="1:39" ht="15" customHeight="1">
      <c r="A5" s="174"/>
      <c r="B5" s="177"/>
      <c r="C5" s="168"/>
      <c r="D5" s="191"/>
      <c r="E5" s="216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34"/>
      <c r="AK5" s="207"/>
      <c r="AL5" s="207"/>
      <c r="AM5" s="211"/>
    </row>
    <row r="6" spans="1:39" ht="15" customHeight="1">
      <c r="A6" s="174"/>
      <c r="B6" s="177"/>
      <c r="C6" s="168"/>
      <c r="D6" s="191"/>
      <c r="E6" s="216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34"/>
      <c r="AK6" s="207"/>
      <c r="AL6" s="207"/>
      <c r="AM6" s="211"/>
    </row>
    <row r="7" spans="1:39" ht="15" customHeight="1">
      <c r="A7" s="174"/>
      <c r="B7" s="177"/>
      <c r="C7" s="168"/>
      <c r="D7" s="191"/>
      <c r="E7" s="216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34"/>
      <c r="AK7" s="207"/>
      <c r="AL7" s="207"/>
      <c r="AM7" s="211"/>
    </row>
    <row r="8" spans="1:39" ht="15" customHeight="1">
      <c r="A8" s="174"/>
      <c r="B8" s="177"/>
      <c r="C8" s="168"/>
      <c r="D8" s="191"/>
      <c r="E8" s="216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34"/>
      <c r="AK8" s="207"/>
      <c r="AL8" s="207"/>
      <c r="AM8" s="211"/>
    </row>
    <row r="9" spans="1:39" ht="15.75" customHeight="1" thickBot="1">
      <c r="A9" s="174"/>
      <c r="B9" s="177"/>
      <c r="C9" s="168"/>
      <c r="D9" s="191"/>
      <c r="E9" s="217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35"/>
      <c r="AK9" s="209"/>
      <c r="AL9" s="209"/>
      <c r="AM9" s="212"/>
    </row>
    <row r="10" spans="1:39" ht="57.75" customHeight="1" thickBot="1" thickTop="1">
      <c r="A10" s="175"/>
      <c r="B10" s="169"/>
      <c r="C10" s="168"/>
      <c r="D10" s="192"/>
      <c r="E10" s="221" t="s">
        <v>62</v>
      </c>
      <c r="F10" s="222"/>
      <c r="G10" s="222"/>
      <c r="H10" s="222"/>
      <c r="I10" s="222"/>
      <c r="J10" s="223"/>
      <c r="K10" s="213" t="s">
        <v>46</v>
      </c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5"/>
      <c r="X10" s="214" t="s">
        <v>47</v>
      </c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39"/>
      <c r="AK10" s="236" t="s">
        <v>59</v>
      </c>
      <c r="AL10" s="236" t="s">
        <v>129</v>
      </c>
      <c r="AM10" s="237" t="s">
        <v>130</v>
      </c>
    </row>
    <row r="11" spans="1:39" ht="24" thickBot="1">
      <c r="A11" s="104"/>
      <c r="B11" s="104"/>
      <c r="C11" s="169"/>
      <c r="D11" s="104" t="s">
        <v>61</v>
      </c>
      <c r="E11" s="105" t="s">
        <v>134</v>
      </c>
      <c r="F11" s="106" t="s">
        <v>75</v>
      </c>
      <c r="G11" s="105" t="s">
        <v>20</v>
      </c>
      <c r="H11" s="106" t="s">
        <v>23</v>
      </c>
      <c r="I11" s="106" t="s">
        <v>25</v>
      </c>
      <c r="J11" s="106" t="s">
        <v>24</v>
      </c>
      <c r="K11" s="105" t="s">
        <v>7</v>
      </c>
      <c r="L11" s="105" t="s">
        <v>8</v>
      </c>
      <c r="M11" s="105" t="s">
        <v>9</v>
      </c>
      <c r="N11" s="105" t="s">
        <v>10</v>
      </c>
      <c r="O11" s="105" t="s">
        <v>11</v>
      </c>
      <c r="P11" s="105" t="s">
        <v>12</v>
      </c>
      <c r="Q11" s="105" t="s">
        <v>13</v>
      </c>
      <c r="R11" s="105" t="s">
        <v>14</v>
      </c>
      <c r="S11" s="105" t="s">
        <v>15</v>
      </c>
      <c r="T11" s="105" t="s">
        <v>16</v>
      </c>
      <c r="U11" s="105" t="s">
        <v>17</v>
      </c>
      <c r="V11" s="105" t="s">
        <v>18</v>
      </c>
      <c r="W11" s="105" t="s">
        <v>19</v>
      </c>
      <c r="X11" s="105" t="s">
        <v>7</v>
      </c>
      <c r="Y11" s="105" t="s">
        <v>8</v>
      </c>
      <c r="Z11" s="105" t="s">
        <v>9</v>
      </c>
      <c r="AA11" s="105" t="s">
        <v>10</v>
      </c>
      <c r="AB11" s="105" t="s">
        <v>11</v>
      </c>
      <c r="AC11" s="105" t="s">
        <v>12</v>
      </c>
      <c r="AD11" s="105" t="s">
        <v>13</v>
      </c>
      <c r="AE11" s="105" t="s">
        <v>14</v>
      </c>
      <c r="AF11" s="105" t="s">
        <v>15</v>
      </c>
      <c r="AG11" s="105" t="s">
        <v>16</v>
      </c>
      <c r="AH11" s="105" t="s">
        <v>17</v>
      </c>
      <c r="AI11" s="105" t="s">
        <v>18</v>
      </c>
      <c r="AJ11" s="106" t="s">
        <v>19</v>
      </c>
      <c r="AK11" s="227"/>
      <c r="AL11" s="227"/>
      <c r="AM11" s="238"/>
    </row>
    <row r="12" spans="1:44" s="68" customFormat="1" ht="13.5" thickBot="1">
      <c r="A12" s="1" t="s">
        <v>78</v>
      </c>
      <c r="B12" s="65" t="s">
        <v>79</v>
      </c>
      <c r="C12" s="85">
        <f>+D12/'Meta Corte Hosp'!N28</f>
        <v>1.01527396649026</v>
      </c>
      <c r="D12" s="86">
        <f aca="true" t="shared" si="0" ref="D12:D17">+G12/AK12</f>
        <v>0.7513027352027923</v>
      </c>
      <c r="E12" s="10">
        <v>1070</v>
      </c>
      <c r="F12" s="17">
        <f aca="true" t="shared" si="1" ref="F12:F17">+E12+(K12+L12+M12)-(X12+Y12+Z12)</f>
        <v>1073</v>
      </c>
      <c r="G12" s="10">
        <f>+E12+(K12+L12+M12+N12+O12)-(X12+Y12+Z12+AA12+AB12)</f>
        <v>1076</v>
      </c>
      <c r="H12" s="91"/>
      <c r="I12" s="91"/>
      <c r="J12" s="96"/>
      <c r="K12" s="19">
        <v>5</v>
      </c>
      <c r="L12" s="19">
        <v>6</v>
      </c>
      <c r="M12" s="19">
        <v>6</v>
      </c>
      <c r="N12" s="19">
        <v>8</v>
      </c>
      <c r="O12" s="19"/>
      <c r="P12" s="19"/>
      <c r="Q12" s="19"/>
      <c r="R12" s="19"/>
      <c r="S12" s="19"/>
      <c r="T12" s="20"/>
      <c r="U12" s="19"/>
      <c r="V12" s="19"/>
      <c r="W12" s="10">
        <f aca="true" t="shared" si="2" ref="W12:W17">SUM(K12:V12)</f>
        <v>25</v>
      </c>
      <c r="X12" s="19">
        <v>1</v>
      </c>
      <c r="Y12" s="19">
        <v>7</v>
      </c>
      <c r="Z12" s="19">
        <v>6</v>
      </c>
      <c r="AA12" s="19">
        <v>5</v>
      </c>
      <c r="AB12" s="19"/>
      <c r="AC12" s="19"/>
      <c r="AD12" s="19"/>
      <c r="AE12" s="19"/>
      <c r="AF12" s="19"/>
      <c r="AG12" s="19"/>
      <c r="AH12" s="19"/>
      <c r="AI12" s="19"/>
      <c r="AJ12" s="10">
        <f aca="true" t="shared" si="3" ref="AJ12:AJ17">SUM(X12:AI12)</f>
        <v>19</v>
      </c>
      <c r="AK12" s="10">
        <f aca="true" t="shared" si="4" ref="AK12:AK17">+AL12+AM12</f>
        <v>1432.179</v>
      </c>
      <c r="AL12" s="10">
        <f>4400*0.157</f>
        <v>690.8</v>
      </c>
      <c r="AM12" s="10">
        <f>1153*0.643</f>
        <v>741.379</v>
      </c>
      <c r="AN12" s="75"/>
      <c r="AO12" s="77"/>
      <c r="AP12" s="77"/>
      <c r="AQ12" s="75"/>
      <c r="AR12" s="75"/>
    </row>
    <row r="13" spans="1:44" s="68" customFormat="1" ht="13.5" thickBot="1">
      <c r="A13" s="1" t="s">
        <v>53</v>
      </c>
      <c r="B13" s="65" t="s">
        <v>80</v>
      </c>
      <c r="C13" s="85">
        <f>+D13/'Meta Corte Hosp'!N29</f>
        <v>0.9648273739641121</v>
      </c>
      <c r="D13" s="86">
        <f t="shared" si="0"/>
        <v>0.5885446981181084</v>
      </c>
      <c r="E13" s="10">
        <v>1131</v>
      </c>
      <c r="F13" s="17">
        <f t="shared" si="1"/>
        <v>1162</v>
      </c>
      <c r="G13" s="10">
        <f>+E13+(K13+L13+M13+N13+O13)-(X13+Y13+Z13+AA13+AB13)</f>
        <v>1176</v>
      </c>
      <c r="H13" s="91"/>
      <c r="I13" s="91"/>
      <c r="J13" s="96"/>
      <c r="K13" s="19">
        <v>9</v>
      </c>
      <c r="L13" s="19">
        <v>14</v>
      </c>
      <c r="M13" s="19">
        <v>12</v>
      </c>
      <c r="N13" s="19">
        <v>15</v>
      </c>
      <c r="O13" s="19"/>
      <c r="P13" s="19"/>
      <c r="Q13" s="19"/>
      <c r="R13" s="19"/>
      <c r="S13" s="19"/>
      <c r="T13" s="20"/>
      <c r="U13" s="19"/>
      <c r="V13" s="19"/>
      <c r="W13" s="10">
        <f t="shared" si="2"/>
        <v>50</v>
      </c>
      <c r="X13" s="19">
        <v>1</v>
      </c>
      <c r="Y13" s="19">
        <v>3</v>
      </c>
      <c r="Z13" s="19"/>
      <c r="AA13" s="19">
        <v>1</v>
      </c>
      <c r="AB13" s="19"/>
      <c r="AC13" s="19"/>
      <c r="AD13" s="19"/>
      <c r="AE13" s="19"/>
      <c r="AF13" s="19"/>
      <c r="AG13" s="19"/>
      <c r="AH13" s="19"/>
      <c r="AI13" s="19"/>
      <c r="AJ13" s="10">
        <f t="shared" si="3"/>
        <v>5</v>
      </c>
      <c r="AK13" s="10">
        <f t="shared" si="4"/>
        <v>1998.149</v>
      </c>
      <c r="AL13" s="10">
        <f>7366*0.157</f>
        <v>1156.462</v>
      </c>
      <c r="AM13" s="10">
        <f>1309*0.643</f>
        <v>841.687</v>
      </c>
      <c r="AN13" s="75"/>
      <c r="AO13" s="77"/>
      <c r="AP13" s="77"/>
      <c r="AQ13" s="75"/>
      <c r="AR13" s="75"/>
    </row>
    <row r="14" spans="1:44" s="68" customFormat="1" ht="13.5" thickBot="1">
      <c r="A14" s="1" t="s">
        <v>54</v>
      </c>
      <c r="B14" s="65" t="s">
        <v>81</v>
      </c>
      <c r="C14" s="85">
        <f>+D14/'Meta Corte Hosp'!N30</f>
        <v>0.5811411037829424</v>
      </c>
      <c r="D14" s="86">
        <f t="shared" si="0"/>
        <v>0.4126101836858891</v>
      </c>
      <c r="E14" s="10">
        <v>1410</v>
      </c>
      <c r="F14" s="17">
        <f t="shared" si="1"/>
        <v>1412</v>
      </c>
      <c r="G14" s="10">
        <f>+E14+(K14+L14+M14+N14+O14)-(X14+Y14+Z14+AA14+AB14)</f>
        <v>1415</v>
      </c>
      <c r="H14" s="91"/>
      <c r="I14" s="91"/>
      <c r="J14" s="96"/>
      <c r="K14" s="19">
        <v>15</v>
      </c>
      <c r="L14" s="19">
        <v>7</v>
      </c>
      <c r="M14" s="19">
        <v>8</v>
      </c>
      <c r="N14" s="19">
        <v>9</v>
      </c>
      <c r="O14" s="19"/>
      <c r="P14" s="19"/>
      <c r="Q14" s="19"/>
      <c r="R14" s="19"/>
      <c r="S14" s="19"/>
      <c r="T14" s="20"/>
      <c r="U14" s="19"/>
      <c r="V14" s="19"/>
      <c r="W14" s="10">
        <f t="shared" si="2"/>
        <v>39</v>
      </c>
      <c r="X14" s="19">
        <v>7</v>
      </c>
      <c r="Y14" s="19">
        <v>5</v>
      </c>
      <c r="Z14" s="19">
        <v>16</v>
      </c>
      <c r="AA14" s="19">
        <v>6</v>
      </c>
      <c r="AB14" s="19"/>
      <c r="AC14" s="19"/>
      <c r="AD14" s="19"/>
      <c r="AE14" s="19"/>
      <c r="AF14" s="19"/>
      <c r="AG14" s="19"/>
      <c r="AH14" s="19"/>
      <c r="AI14" s="19"/>
      <c r="AJ14" s="10">
        <f t="shared" si="3"/>
        <v>34</v>
      </c>
      <c r="AK14" s="10">
        <f t="shared" si="4"/>
        <v>3429.3869999999997</v>
      </c>
      <c r="AL14" s="10">
        <f>11674*0.157</f>
        <v>1832.818</v>
      </c>
      <c r="AM14" s="10">
        <f>2483*0.643</f>
        <v>1596.569</v>
      </c>
      <c r="AN14" s="75"/>
      <c r="AO14" s="77"/>
      <c r="AP14" s="77"/>
      <c r="AQ14" s="75"/>
      <c r="AR14" s="75"/>
    </row>
    <row r="15" spans="1:44" s="68" customFormat="1" ht="13.5" thickBot="1">
      <c r="A15" s="1" t="s">
        <v>55</v>
      </c>
      <c r="B15" s="65" t="s">
        <v>82</v>
      </c>
      <c r="C15" s="85">
        <f>+D15/'Meta Corte Hosp'!N31</f>
        <v>1.11150842058598</v>
      </c>
      <c r="D15" s="86">
        <f t="shared" si="0"/>
        <v>0.9558972417039429</v>
      </c>
      <c r="E15" s="10">
        <v>1475</v>
      </c>
      <c r="F15" s="17">
        <f t="shared" si="1"/>
        <v>1457</v>
      </c>
      <c r="G15" s="10">
        <f>+E15+(K15+L15+M15+N15+O15)-(X15+Y15+Z15+AA15+AB15)</f>
        <v>1454</v>
      </c>
      <c r="H15" s="91"/>
      <c r="I15" s="91"/>
      <c r="J15" s="96"/>
      <c r="K15" s="19">
        <v>5</v>
      </c>
      <c r="L15" s="19">
        <v>6</v>
      </c>
      <c r="M15" s="19">
        <v>3</v>
      </c>
      <c r="N15" s="19">
        <v>3</v>
      </c>
      <c r="O15" s="19"/>
      <c r="P15" s="19"/>
      <c r="Q15" s="19"/>
      <c r="R15" s="19"/>
      <c r="S15" s="19"/>
      <c r="T15" s="20"/>
      <c r="U15" s="19"/>
      <c r="V15" s="19"/>
      <c r="W15" s="10">
        <f t="shared" si="2"/>
        <v>17</v>
      </c>
      <c r="X15" s="19">
        <v>6</v>
      </c>
      <c r="Y15" s="19">
        <v>20</v>
      </c>
      <c r="Z15" s="19">
        <v>6</v>
      </c>
      <c r="AA15" s="19">
        <v>6</v>
      </c>
      <c r="AB15" s="19"/>
      <c r="AC15" s="19"/>
      <c r="AD15" s="19"/>
      <c r="AE15" s="19"/>
      <c r="AF15" s="19"/>
      <c r="AG15" s="19"/>
      <c r="AH15" s="19"/>
      <c r="AI15" s="19"/>
      <c r="AJ15" s="10">
        <f t="shared" si="3"/>
        <v>38</v>
      </c>
      <c r="AK15" s="10">
        <f t="shared" si="4"/>
        <v>1521.0839999999998</v>
      </c>
      <c r="AL15" s="10">
        <f>5769*0.157</f>
        <v>905.733</v>
      </c>
      <c r="AM15" s="10">
        <f>957*0.643</f>
        <v>615.351</v>
      </c>
      <c r="AN15" s="75"/>
      <c r="AO15" s="77"/>
      <c r="AP15" s="77"/>
      <c r="AQ15" s="75"/>
      <c r="AR15" s="75"/>
    </row>
    <row r="16" spans="1:44" s="68" customFormat="1" ht="13.5" thickBot="1">
      <c r="A16" s="1" t="s">
        <v>56</v>
      </c>
      <c r="B16" s="65" t="s">
        <v>83</v>
      </c>
      <c r="C16" s="85">
        <f>+D16/'Meta Corte Hosp'!N32</f>
        <v>1.0260021814047802</v>
      </c>
      <c r="D16" s="86">
        <f t="shared" si="0"/>
        <v>0.8208017451238242</v>
      </c>
      <c r="E16" s="10">
        <v>1385</v>
      </c>
      <c r="F16" s="17">
        <f t="shared" si="1"/>
        <v>1393</v>
      </c>
      <c r="G16" s="10">
        <f>+E16+(K16+L16+M16+N16+O16)-(X16+Y16+Z16+AA16+AB16)</f>
        <v>1405</v>
      </c>
      <c r="H16" s="91"/>
      <c r="I16" s="91"/>
      <c r="J16" s="96"/>
      <c r="K16" s="19">
        <v>16</v>
      </c>
      <c r="L16" s="19">
        <v>18</v>
      </c>
      <c r="M16" s="19">
        <v>18</v>
      </c>
      <c r="N16" s="19">
        <v>16</v>
      </c>
      <c r="O16" s="19"/>
      <c r="P16" s="19"/>
      <c r="Q16" s="19"/>
      <c r="R16" s="19"/>
      <c r="S16" s="19"/>
      <c r="T16" s="20"/>
      <c r="U16" s="19"/>
      <c r="V16" s="19"/>
      <c r="W16" s="10">
        <f t="shared" si="2"/>
        <v>68</v>
      </c>
      <c r="X16" s="19">
        <v>2</v>
      </c>
      <c r="Y16" s="19">
        <v>39</v>
      </c>
      <c r="Z16" s="19">
        <v>3</v>
      </c>
      <c r="AA16" s="19">
        <v>4</v>
      </c>
      <c r="AB16" s="19"/>
      <c r="AC16" s="19"/>
      <c r="AD16" s="19"/>
      <c r="AE16" s="19"/>
      <c r="AF16" s="19"/>
      <c r="AG16" s="19"/>
      <c r="AH16" s="19"/>
      <c r="AI16" s="19"/>
      <c r="AJ16" s="10">
        <f t="shared" si="3"/>
        <v>48</v>
      </c>
      <c r="AK16" s="10">
        <f t="shared" si="4"/>
        <v>1711.741</v>
      </c>
      <c r="AL16" s="10">
        <f>6410*0.157</f>
        <v>1006.37</v>
      </c>
      <c r="AM16" s="10">
        <f>1097*0.643</f>
        <v>705.371</v>
      </c>
      <c r="AN16" s="75"/>
      <c r="AO16" s="77"/>
      <c r="AP16" s="77"/>
      <c r="AQ16" s="75"/>
      <c r="AR16" s="75"/>
    </row>
    <row r="17" spans="1:44" s="68" customFormat="1" ht="15.75" customHeight="1" thickBot="1">
      <c r="A17" s="1" t="s">
        <v>57</v>
      </c>
      <c r="B17" s="65" t="s">
        <v>84</v>
      </c>
      <c r="C17" s="85">
        <f>+D17/'Meta Corte Hosp'!N33</f>
        <v>1.0433135089089312</v>
      </c>
      <c r="D17" s="86">
        <f t="shared" si="0"/>
        <v>0.8137845369489662</v>
      </c>
      <c r="E17" s="10">
        <v>823</v>
      </c>
      <c r="F17" s="17">
        <f t="shared" si="1"/>
        <v>842</v>
      </c>
      <c r="G17" s="10">
        <f>+E17+(K17+L17+M17+N17+O17)-(X17+Y17+Z17+AA17+AB17)</f>
        <v>853</v>
      </c>
      <c r="H17" s="91"/>
      <c r="I17" s="91"/>
      <c r="J17" s="96"/>
      <c r="K17" s="19">
        <v>5</v>
      </c>
      <c r="L17" s="19">
        <v>10</v>
      </c>
      <c r="M17" s="19">
        <v>7</v>
      </c>
      <c r="N17" s="19">
        <v>13</v>
      </c>
      <c r="O17" s="19"/>
      <c r="P17" s="19"/>
      <c r="Q17" s="19"/>
      <c r="R17" s="19"/>
      <c r="S17" s="19"/>
      <c r="T17" s="20"/>
      <c r="U17" s="19"/>
      <c r="V17" s="19"/>
      <c r="W17" s="10">
        <f t="shared" si="2"/>
        <v>35</v>
      </c>
      <c r="X17" s="19">
        <v>2</v>
      </c>
      <c r="Y17" s="19">
        <v>1</v>
      </c>
      <c r="Z17" s="19"/>
      <c r="AA17" s="19">
        <v>2</v>
      </c>
      <c r="AB17" s="19"/>
      <c r="AC17" s="19"/>
      <c r="AD17" s="19"/>
      <c r="AE17" s="19"/>
      <c r="AF17" s="19"/>
      <c r="AG17" s="19"/>
      <c r="AH17" s="19"/>
      <c r="AI17" s="19"/>
      <c r="AJ17" s="10">
        <f t="shared" si="3"/>
        <v>5</v>
      </c>
      <c r="AK17" s="10">
        <f t="shared" si="4"/>
        <v>1048.189</v>
      </c>
      <c r="AL17" s="10">
        <f>3060*0.157</f>
        <v>480.42</v>
      </c>
      <c r="AM17" s="10">
        <f>883*0.643</f>
        <v>567.769</v>
      </c>
      <c r="AN17" s="75"/>
      <c r="AO17" s="77"/>
      <c r="AP17" s="77"/>
      <c r="AQ17" s="75"/>
      <c r="AR17" s="75"/>
    </row>
    <row r="18" spans="1:39" s="67" customFormat="1" ht="13.5" thickBot="1">
      <c r="A18" s="73"/>
      <c r="B18" s="69" t="s">
        <v>85</v>
      </c>
      <c r="C18" s="79"/>
      <c r="D18" s="95"/>
      <c r="E18" s="22">
        <f>SUM(E12:E17)</f>
        <v>7294</v>
      </c>
      <c r="F18" s="22">
        <f>SUM(F12:F17)</f>
        <v>7339</v>
      </c>
      <c r="G18" s="22">
        <f aca="true" t="shared" si="5" ref="G18:AM18">SUM(G12:G17)</f>
        <v>7379</v>
      </c>
      <c r="H18" s="22">
        <f t="shared" si="5"/>
        <v>0</v>
      </c>
      <c r="I18" s="22">
        <f t="shared" si="5"/>
        <v>0</v>
      </c>
      <c r="J18" s="22">
        <f t="shared" si="5"/>
        <v>0</v>
      </c>
      <c r="K18" s="22">
        <f t="shared" si="5"/>
        <v>55</v>
      </c>
      <c r="L18" s="22">
        <f t="shared" si="5"/>
        <v>61</v>
      </c>
      <c r="M18" s="22">
        <f t="shared" si="5"/>
        <v>54</v>
      </c>
      <c r="N18" s="22">
        <f t="shared" si="5"/>
        <v>64</v>
      </c>
      <c r="O18" s="22">
        <f t="shared" si="5"/>
        <v>0</v>
      </c>
      <c r="P18" s="22">
        <f t="shared" si="5"/>
        <v>0</v>
      </c>
      <c r="Q18" s="22">
        <f t="shared" si="5"/>
        <v>0</v>
      </c>
      <c r="R18" s="22">
        <f t="shared" si="5"/>
        <v>0</v>
      </c>
      <c r="S18" s="22">
        <f t="shared" si="5"/>
        <v>0</v>
      </c>
      <c r="T18" s="22">
        <f t="shared" si="5"/>
        <v>0</v>
      </c>
      <c r="U18" s="22">
        <f t="shared" si="5"/>
        <v>0</v>
      </c>
      <c r="V18" s="22">
        <f t="shared" si="5"/>
        <v>0</v>
      </c>
      <c r="W18" s="22">
        <f t="shared" si="5"/>
        <v>234</v>
      </c>
      <c r="X18" s="22">
        <f t="shared" si="5"/>
        <v>19</v>
      </c>
      <c r="Y18" s="22">
        <f t="shared" si="5"/>
        <v>75</v>
      </c>
      <c r="Z18" s="22">
        <f t="shared" si="5"/>
        <v>31</v>
      </c>
      <c r="AA18" s="22">
        <f t="shared" si="5"/>
        <v>24</v>
      </c>
      <c r="AB18" s="22">
        <f t="shared" si="5"/>
        <v>0</v>
      </c>
      <c r="AC18" s="22">
        <f t="shared" si="5"/>
        <v>0</v>
      </c>
      <c r="AD18" s="22">
        <f t="shared" si="5"/>
        <v>0</v>
      </c>
      <c r="AE18" s="22">
        <f t="shared" si="5"/>
        <v>0</v>
      </c>
      <c r="AF18" s="22">
        <f t="shared" si="5"/>
        <v>0</v>
      </c>
      <c r="AG18" s="22">
        <f t="shared" si="5"/>
        <v>0</v>
      </c>
      <c r="AH18" s="22">
        <f t="shared" si="5"/>
        <v>0</v>
      </c>
      <c r="AI18" s="22">
        <f t="shared" si="5"/>
        <v>0</v>
      </c>
      <c r="AJ18" s="22">
        <f t="shared" si="5"/>
        <v>149</v>
      </c>
      <c r="AK18" s="22">
        <f t="shared" si="5"/>
        <v>11140.729</v>
      </c>
      <c r="AL18" s="22">
        <f t="shared" si="5"/>
        <v>6072.603</v>
      </c>
      <c r="AM18" s="22">
        <f t="shared" si="5"/>
        <v>5068.126</v>
      </c>
    </row>
  </sheetData>
  <sheetProtection/>
  <mergeCells count="13">
    <mergeCell ref="K10:W10"/>
    <mergeCell ref="X10:AJ10"/>
    <mergeCell ref="AL10:AL11"/>
    <mergeCell ref="AK10:AK11"/>
    <mergeCell ref="E2:AJ9"/>
    <mergeCell ref="AM10:AM11"/>
    <mergeCell ref="A1:A10"/>
    <mergeCell ref="B1:B10"/>
    <mergeCell ref="C1:C11"/>
    <mergeCell ref="D1:D10"/>
    <mergeCell ref="AK2:AM9"/>
    <mergeCell ref="E1:AM1"/>
    <mergeCell ref="E10:J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michelle keller</cp:lastModifiedBy>
  <dcterms:created xsi:type="dcterms:W3CDTF">2014-07-18T16:45:26Z</dcterms:created>
  <dcterms:modified xsi:type="dcterms:W3CDTF">2016-07-01T15:40:57Z</dcterms:modified>
  <cp:category/>
  <cp:version/>
  <cp:contentType/>
  <cp:contentStatus/>
</cp:coreProperties>
</file>